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enne_projektmappe" defaultThemeVersion="166925"/>
  <mc:AlternateContent xmlns:mc="http://schemas.openxmlformats.org/markup-compatibility/2006">
    <mc:Choice Requires="x15">
      <x15ac:absPath xmlns:x15ac="http://schemas.microsoft.com/office/spreadsheetml/2010/11/ac" url="I:\VERND\FAKOKIR\Umhvorvis_hagtol\GHG Calculator Project\CARBON CALCULATOR TOOL\CO2-roknarin\CO2-roknarin_2023\ì gerð\"/>
    </mc:Choice>
  </mc:AlternateContent>
  <xr:revisionPtr revIDLastSave="0" documentId="13_ncr:1_{252E4A11-34A2-4779-91AF-F08513984872}" xr6:coauthVersionLast="47" xr6:coauthVersionMax="47" xr10:uidLastSave="{00000000-0000-0000-0000-000000000000}"/>
  <bookViews>
    <workbookView xWindow="-120" yWindow="-120" windowWidth="29040" windowHeight="15840" tabRatio="945" activeTab="8" xr2:uid="{8DA231E6-6635-4DFF-A178-D25C928D9FB3}"/>
  </bookViews>
  <sheets>
    <sheet name="Introduction" sheetId="1" r:id="rId1"/>
    <sheet name="Contents" sheetId="59" r:id="rId2"/>
    <sheet name="Organisation Details" sheetId="19" r:id="rId3"/>
    <sheet name="Summary" sheetId="24" r:id="rId4"/>
    <sheet name="V1 - Fuels (Stationary)" sheetId="33" r:id="rId5"/>
    <sheet name="V1 - Fuels (Mobile)" sheetId="41" r:id="rId6"/>
    <sheet name="V1 - Refrigerants" sheetId="42" r:id="rId7"/>
    <sheet name="V2 - Purchased Electricity" sheetId="43" r:id="rId8"/>
    <sheet name="V2 - District Heating" sheetId="45" r:id="rId9"/>
    <sheet name="V3 - Upstream Transport" sheetId="46" r:id="rId10"/>
    <sheet name="V3 - Downstream Transport" sheetId="53" r:id="rId11"/>
    <sheet name="V3 - Business Travel" sheetId="48" r:id="rId12"/>
    <sheet name="V3 - Employee Commuting" sheetId="54" r:id="rId13"/>
    <sheet name="V3 - Waste Generated in Ops" sheetId="44" r:id="rId14"/>
    <sheet name="Conversions" sheetId="39" state="veryHidden" r:id="rId15"/>
    <sheet name="Dropdown" sheetId="17" state="veryHidden" r:id="rId16"/>
    <sheet name="Emission Factors" sheetId="37" state="veryHidden" r:id="rId17"/>
    <sheet name="Descriptions" sheetId="18" state="veryHidden" r:id="rId18"/>
    <sheet name="Version Control" sheetId="60" state="veryHidden" r:id="rId19"/>
    <sheet name="GWPs" sheetId="55" state="veryHidden" r:id="rId20"/>
  </sheets>
  <definedNames>
    <definedName name="_xlnm._FilterDatabase" localSheetId="14" hidden="1">Conversions!$B$3:$I$10</definedName>
    <definedName name="_xlnm._FilterDatabase" localSheetId="17" hidden="1">Descriptions!$A$1:$C$179</definedName>
    <definedName name="_xlnm._FilterDatabase" localSheetId="16" hidden="1">'Emission Factors'!$D$17:$W$65</definedName>
    <definedName name="S1_AirTrafficDomLessThan3000ft">Dropdown!$P$3:$P$4</definedName>
    <definedName name="S1_AirTrafficDomMoreThan3000ft">Dropdown!$P$5:$P$6</definedName>
    <definedName name="S1_AirTrafficIntLessThan3000ft">Dropdown!$P$7:$P$7</definedName>
    <definedName name="S1_AirTrafficIntMoreThan3000ft">Dropdown!$P$8:$P$9</definedName>
    <definedName name="S1_Biogas">Dropdown!$I$3:$I$8</definedName>
    <definedName name="S1_Bus">Dropdown!$P$10</definedName>
    <definedName name="S1_Butane">Dropdown!$I$9</definedName>
    <definedName name="S1_Commercial_Institutional">Dropdown!$P$11:$P$13</definedName>
    <definedName name="S1_Fishing_Ships">Dropdown!$P$11:$P$13</definedName>
    <definedName name="S1_Gasdiesel_oil">Dropdown!$I$10:$I$15</definedName>
    <definedName name="S1_Heavy_Fuel_Oil">Dropdown!$I$16:$I$18</definedName>
    <definedName name="S1_HeavyDutyVehicles">Dropdown!$P$14:$P$17</definedName>
    <definedName name="S1_Kerosene">Dropdown!$I$19:$I$23</definedName>
    <definedName name="S1_LightDutyVehicles">Dropdown!$P$18:$P$21</definedName>
    <definedName name="S1_LPG">Dropdown!$I$24:$I$29</definedName>
    <definedName name="S1_Motorcycles">Dropdown!$P$22:$P$23</definedName>
    <definedName name="S1_Passenger_Cars">Dropdown!$P$24:$P$27</definedName>
    <definedName name="S1_Propane">Dropdown!$I$30</definedName>
    <definedName name="S1_Residential">Dropdown!$P$37:$P$38</definedName>
    <definedName name="S1_Sea_Navigation">Dropdown!$P$28:$P$30</definedName>
    <definedName name="S1_Sea_Navigation_INT">Dropdown!$P$31:$P$33</definedName>
    <definedName name="S1_Waste_Oils">Dropdown!$I$31</definedName>
    <definedName name="S1_Wood_Chips">Dropdown!$I$32</definedName>
    <definedName name="S1_Wood_Logs">Dropdown!$I$33</definedName>
    <definedName name="S1_Wood_Pellets">Dropdown!$I$34:$I$39</definedName>
    <definedName name="S3_AirTravelDomBT_Units">Dropdown!$BB$3</definedName>
    <definedName name="S3_AirTravelIntAveBT_Units">Dropdown!$BB$12</definedName>
    <definedName name="S3_AirTravelIntBusBT_Units">Dropdown!$BB$15</definedName>
    <definedName name="S3_AirTravelIntEcoBT_Units">Dropdown!$BB$13</definedName>
    <definedName name="S3_AirTravelIntFirBT_Units">Dropdown!$BB$16</definedName>
    <definedName name="S3_AirTravelIntPreBT_Units">Dropdown!$BB$14</definedName>
    <definedName name="S3_AirTravelLonconBT_Units">Dropdown!$BB$8</definedName>
    <definedName name="S3_AirTravelLonirsBT_Units">Dropdown!$BB$11</definedName>
    <definedName name="S3_AirTravelLonremBT_Units">Dropdown!$BB$9</definedName>
    <definedName name="S3_AirTravelLonusiBT_Units">Dropdown!$BB$10</definedName>
    <definedName name="S3_AirTravelLonverBT_Units">Dropdown!$BB$7</definedName>
    <definedName name="S3_AirTravelShoAveBT_Units">Dropdown!$BB$4</definedName>
    <definedName name="S3_AirTravelShoBT_Units">Dropdown!$BB$4</definedName>
    <definedName name="S3_AirTravelShoBusBT_Units">Dropdown!$BB$6</definedName>
    <definedName name="S3_AirTravelShoEcoBT_Units">Dropdown!$BB$5</definedName>
    <definedName name="S3_AvgMotorbikeAveBT_Units">Dropdown!$BB$28</definedName>
    <definedName name="S3_BT_AirTravel">Dropdown!$AX$3:$AX$16</definedName>
    <definedName name="S3_BT_Bus">Dropdown!$AX$30:$AX$30</definedName>
    <definedName name="S3_BT_Ferry">Dropdown!$AX$17:$AX$19</definedName>
    <definedName name="S3_BT_Motorcycles">Dropdown!$AX$28</definedName>
    <definedName name="S3_BT_PassengerCars">Dropdown!$AX$20:$AX$27</definedName>
    <definedName name="S3_BT_Taxi">Dropdown!$AX$29</definedName>
    <definedName name="S3_CoachCoaBT_Units">Dropdown!$BB$32</definedName>
    <definedName name="S3_FerryAveBT_Units">Dropdown!$BB$19</definedName>
    <definedName name="S3_FerryCarBT_Units">Dropdown!$BB$18</definedName>
    <definedName name="S3_FerryFooBT_Units">Dropdown!$BB$17</definedName>
    <definedName name="S3_LocalBusAveBT_Units">Dropdown!$BB$31</definedName>
    <definedName name="S3_PassengerCarsBatBT_Units">Dropdown!$BB$27</definedName>
    <definedName name="S3_PassengerCarsCNGBT_Units">Dropdown!$BB$23</definedName>
    <definedName name="S3_PassengerCarsDieBT_Units">Dropdown!$BB$20</definedName>
    <definedName name="S3_PassengerCarsHybBT_Units">Dropdown!$BB$22</definedName>
    <definedName name="S3_PassengerCarsLPGBT_Units">Dropdown!$BB$24</definedName>
    <definedName name="S3_PassengerCarsPetBT_Units">Dropdown!$BB$21</definedName>
    <definedName name="S3_PassengerCarsPluBT_Units">Dropdown!$BB$26</definedName>
    <definedName name="S3_PassengerCarsUnkBT_Units">Dropdown!$BB$25</definedName>
    <definedName name="S3_Sea_Tanker_Units">Dropdown!$AQ$10</definedName>
    <definedName name="S3_TaxiRegBT_Units">Dropdown!$BB$29:$BB$30</definedName>
    <definedName name="S3_UDT_DistanceDropdown">Dropdown!$AR$3:$AR$8</definedName>
    <definedName name="S3_UDT_FuelUseDropdown">Dropdown!$AI$3:$AI$22</definedName>
    <definedName name="S3_UDTDistance_AirTravel">Dropdown!$AN$3:$AN$6</definedName>
    <definedName name="S3_UDTDistance_AirTravel_Units">Dropdown!$AQ$3</definedName>
    <definedName name="S3_UDTDistance_AirTravelDomestic">Dropdown!$AN$3:$AN$6</definedName>
    <definedName name="S3_UDTDistance_CargoShip">Dropdown!$AN$28:$AN$34</definedName>
    <definedName name="S3_UDTDistance_CargoShip_Units">Dropdown!$AQ$11</definedName>
    <definedName name="S3_UDTDistance_HeavyDutyVehicles">Dropdown!$AN$7:$AN$14</definedName>
    <definedName name="S3_UDTDistance_HeavyDutyVehicles_Units">Dropdown!$AQ$4:$AQ$6</definedName>
    <definedName name="S3_UDTDistance_HeavyDutyVehiclesRefrigerated">Dropdown!$AN$15:$AN$22</definedName>
    <definedName name="S3_UDTDistance_HeavyDutyVehiclesRefrigerated_Units">Dropdown!$AQ$7:$AQ$9</definedName>
    <definedName name="S3_UDTDistance_SeaTanker">Dropdown!$AN$23:$AN$27</definedName>
    <definedName name="S3_UDTDistance_SeaTanker_Units">Dropdown!$AQ$10</definedName>
    <definedName name="S3_UDTDistance_Van">Dropdown!$AN$35:$AN$40</definedName>
    <definedName name="S3_UDTDistance_Van_Units">Dropdown!$AQ$12:$AQ$14</definedName>
    <definedName name="S3_UDTFuel_Agriculture">Dropdown!$AH$3:$AH$5</definedName>
    <definedName name="S3_UDTFuel_Air_Travel">Dropdown!$AH$6:$AH$8</definedName>
    <definedName name="S3_UDTFuel_AirTrafficDomLessThan3000ft">Dropdown!$AH$9:$AH$10</definedName>
    <definedName name="S3_UDTFuel_AirTrafficDomMoreThan3000ft">Dropdown!$AH$11</definedName>
    <definedName name="S3_UDTFuel_AirTrafficIntLessThan3000ft">Dropdown!$AH$12</definedName>
    <definedName name="S3_UDTFuel_AirTrafficIntMoreThan3000ft">Dropdown!$AH$13</definedName>
    <definedName name="S3_UDTFuel_AirTravel">Dropdown!$AH$6:$AH$8</definedName>
    <definedName name="S3_UDTFuel_Bus">Dropdown!$AH$14</definedName>
    <definedName name="S3_UDTFuel_CargoShip">Dropdown!$AH$15</definedName>
    <definedName name="S3_UDTFuel_Commercial_Institutional">Dropdown!$AH$16:$AH$18</definedName>
    <definedName name="S3_UDTFuel_CommercialInstitutional">Dropdown!$AH$16:$AH$18</definedName>
    <definedName name="S3_UDTFuel_Fishing_Ships">Dropdown!$AH$19:$AH$21</definedName>
    <definedName name="S3_UDTFuel_FishingShips">Dropdown!$AH$19:$AH$21</definedName>
    <definedName name="S3_UDTFuel_Forestry">Dropdown!$AH$22:$AH$24</definedName>
    <definedName name="S3_UDTFuel_Heavy_duty_vehicles">Dropdown!$AH$25:$AH$28</definedName>
    <definedName name="S3_UDTFuel_HeavyDutyVehicles">Dropdown!$AH$25:$AH$28</definedName>
    <definedName name="S3_UDTFuel_Light_duty_vehicles">Dropdown!$AH$29:$AH$32</definedName>
    <definedName name="S3_UDTFuel_LightDutyVehicles">Dropdown!$AH$29:$AH$32</definedName>
    <definedName name="S3_UDTFuel_Manufacturing_industries_and_construction">Dropdown!$AH$33:$AH$35</definedName>
    <definedName name="S3_UDTFuel_ManufacturingIndustries">Dropdown!$AH$33:$AH$35</definedName>
    <definedName name="S3_UDTFuel_Motorcycles">Dropdown!$AH$36:$AH$37</definedName>
    <definedName name="S3_UDTFuel_Passenger_cars">Dropdown!$AH$38:$AH$41</definedName>
    <definedName name="S3_UDTFuel_PassengerCars">Dropdown!$AH$38:$AH$41</definedName>
    <definedName name="S3_UDTFuel_Residential">Dropdown!$AH$42:$AH$43</definedName>
    <definedName name="S3_UDTFuel_Sea_Navigation">Dropdown!$AH$44:$AH$46</definedName>
    <definedName name="S3_UDTFuel_Sea_Navigation___International">Dropdown!$AH$47:$AH$49</definedName>
    <definedName name="S3_UDTFuel_Sea_Tanker">Dropdown!$AH$50</definedName>
    <definedName name="S3_UDTFuel_SeaNavigation">Dropdown!$AH$44:$AH$46</definedName>
    <definedName name="S3_UDTFuel_SeaNavigationInt">Dropdown!$AH$47:$AH$49</definedName>
    <definedName name="S3_UDTFuel_SeaTanker">Dropdown!$AH$50</definedName>
    <definedName name="S3_Van_Units">Dropdown!$AQ$12:$AQ$14</definedName>
    <definedName name="S3_Waste_Aggregates">Dropdown!$BG$18</definedName>
    <definedName name="S3_Waste_Asbestos">Dropdown!$BG$19</definedName>
    <definedName name="S3_Waste_Bricks">Dropdown!$BG$20:$BG$21</definedName>
    <definedName name="S3_Waste_CommercialIndustrial">Dropdown!$BG$3:$BG$4</definedName>
    <definedName name="S3_Waste_Garden">Dropdown!$BG$10:$BG$10</definedName>
    <definedName name="S3_Waste_HouseholdResidual">Dropdown!$BG$12</definedName>
    <definedName name="S3_Waste_Insulation">Dropdown!$BG$22</definedName>
    <definedName name="S3_Waste_Metals">Dropdown!$BG$23</definedName>
    <definedName name="S3_Waste_Mineral_oil">Dropdown!$BG$25</definedName>
    <definedName name="S3_Waste_OrganicFD">Dropdown!$BG$6:$BG$7</definedName>
    <definedName name="S3_Waste_OrganicFG">Dropdown!$BG$8:$BG$9</definedName>
    <definedName name="S3_Waste_PaperBoardMix">Dropdown!$BG$15:$BG$16</definedName>
    <definedName name="S3_Waste_Plasterboard">Dropdown!$BG$26</definedName>
    <definedName name="S3_Waste_PlasticPET">Dropdown!$BG$30</definedName>
    <definedName name="S3_Waste_PlasticsAverage">Dropdown!$BG$13:$BG$14</definedName>
    <definedName name="S3_Waste_Soils">Dropdown!$BG$24</definedName>
    <definedName name="S3_Waste_Tyres">Dropdown!$BG$27</definedName>
    <definedName name="S3_Waste_WEEE">Dropdown!$BG$17</definedName>
    <definedName name="S3_Waste_Wood">Dropdown!$BG$28:$BG$28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1" i="37" l="1"/>
  <c r="V551" i="37"/>
  <c r="T551" i="37"/>
  <c r="S551" i="37"/>
  <c r="P199" i="37"/>
  <c r="O199" i="37"/>
  <c r="N199" i="37"/>
  <c r="T199" i="37" s="1"/>
  <c r="M199" i="37"/>
  <c r="F199" i="37"/>
  <c r="P72" i="44"/>
  <c r="P71" i="44"/>
  <c r="P70" i="44"/>
  <c r="P69" i="44"/>
  <c r="P68" i="44"/>
  <c r="P67" i="44"/>
  <c r="P66" i="44"/>
  <c r="P65" i="44"/>
  <c r="P64" i="44"/>
  <c r="P62" i="44"/>
  <c r="P61" i="44"/>
  <c r="P60" i="44"/>
  <c r="P59" i="44"/>
  <c r="P58" i="44"/>
  <c r="P57" i="44"/>
  <c r="P56" i="44"/>
  <c r="P55" i="44"/>
  <c r="P54" i="44"/>
  <c r="P53" i="44"/>
  <c r="P52" i="44"/>
  <c r="K72" i="44"/>
  <c r="K71" i="44"/>
  <c r="K70" i="44"/>
  <c r="K69" i="44"/>
  <c r="K68" i="44"/>
  <c r="K67" i="44"/>
  <c r="K66" i="44"/>
  <c r="K65" i="44"/>
  <c r="K64" i="44"/>
  <c r="K63" i="44"/>
  <c r="O63" i="44" s="1"/>
  <c r="K62" i="44"/>
  <c r="K61" i="44"/>
  <c r="K60" i="44"/>
  <c r="O60" i="44" s="1"/>
  <c r="K59" i="44"/>
  <c r="K58" i="44"/>
  <c r="K57" i="44"/>
  <c r="K56" i="44"/>
  <c r="K55" i="44"/>
  <c r="K54" i="44"/>
  <c r="K53" i="44"/>
  <c r="K52" i="44"/>
  <c r="K51" i="44"/>
  <c r="K50" i="44"/>
  <c r="K49" i="44"/>
  <c r="K48" i="44"/>
  <c r="K47" i="44"/>
  <c r="K46" i="44"/>
  <c r="K45" i="44"/>
  <c r="K44" i="44"/>
  <c r="Q72" i="44"/>
  <c r="Q71" i="44"/>
  <c r="Q70" i="44"/>
  <c r="Q69" i="44"/>
  <c r="Q68" i="44"/>
  <c r="Q67" i="44"/>
  <c r="Q66" i="44"/>
  <c r="Q65" i="44"/>
  <c r="Q64" i="44"/>
  <c r="Q62" i="44"/>
  <c r="Q61" i="44"/>
  <c r="Q59" i="44"/>
  <c r="Q58" i="44"/>
  <c r="Q57" i="44"/>
  <c r="Q56" i="44"/>
  <c r="Q55" i="44"/>
  <c r="Q54" i="44"/>
  <c r="Q53" i="44"/>
  <c r="Q52" i="44"/>
  <c r="Q51" i="44"/>
  <c r="Q50" i="44"/>
  <c r="Q49" i="44"/>
  <c r="Q48" i="44"/>
  <c r="Q47" i="44"/>
  <c r="Q46" i="44"/>
  <c r="Q45" i="44"/>
  <c r="Q44" i="44"/>
  <c r="Q43" i="44"/>
  <c r="Q42" i="44"/>
  <c r="Q41" i="44"/>
  <c r="Q40" i="44"/>
  <c r="Q39" i="44"/>
  <c r="O72" i="44"/>
  <c r="N72" i="44"/>
  <c r="L72" i="44"/>
  <c r="M72" i="44" s="1"/>
  <c r="O71" i="44"/>
  <c r="N71" i="44"/>
  <c r="L71" i="44"/>
  <c r="M71" i="44" s="1"/>
  <c r="O70" i="44"/>
  <c r="N70" i="44"/>
  <c r="L70" i="44"/>
  <c r="M70" i="44" s="1"/>
  <c r="O69" i="44"/>
  <c r="N69" i="44"/>
  <c r="L69" i="44"/>
  <c r="M69" i="44" s="1"/>
  <c r="O68" i="44"/>
  <c r="N68" i="44"/>
  <c r="L68" i="44"/>
  <c r="M68" i="44" s="1"/>
  <c r="O67" i="44"/>
  <c r="N67" i="44"/>
  <c r="L67" i="44"/>
  <c r="M67" i="44" s="1"/>
  <c r="O66" i="44"/>
  <c r="N66" i="44"/>
  <c r="L66" i="44"/>
  <c r="M66" i="44" s="1"/>
  <c r="O65" i="44"/>
  <c r="N65" i="44"/>
  <c r="L65" i="44"/>
  <c r="M65" i="44" s="1"/>
  <c r="O64" i="44"/>
  <c r="N64" i="44"/>
  <c r="L64" i="44"/>
  <c r="M64" i="44" s="1"/>
  <c r="O62" i="44"/>
  <c r="N62" i="44"/>
  <c r="L62" i="44"/>
  <c r="M62" i="44" s="1"/>
  <c r="O61" i="44"/>
  <c r="N61" i="44"/>
  <c r="L61" i="44"/>
  <c r="M61" i="44" s="1"/>
  <c r="O59" i="44"/>
  <c r="N59" i="44"/>
  <c r="L59" i="44"/>
  <c r="M59" i="44" s="1"/>
  <c r="O58" i="44"/>
  <c r="N58" i="44"/>
  <c r="L58" i="44"/>
  <c r="M58" i="44" s="1"/>
  <c r="O57" i="44"/>
  <c r="N57" i="44"/>
  <c r="L57" i="44"/>
  <c r="M57" i="44" s="1"/>
  <c r="O56" i="44"/>
  <c r="N56" i="44"/>
  <c r="L56" i="44"/>
  <c r="M56" i="44" s="1"/>
  <c r="O55" i="44"/>
  <c r="N55" i="44"/>
  <c r="L55" i="44"/>
  <c r="M55" i="44" s="1"/>
  <c r="O54" i="44"/>
  <c r="N54" i="44"/>
  <c r="L54" i="44"/>
  <c r="M54" i="44" s="1"/>
  <c r="O53" i="44"/>
  <c r="N53" i="44"/>
  <c r="L53" i="44"/>
  <c r="M53" i="44" s="1"/>
  <c r="O52" i="44"/>
  <c r="N52" i="44"/>
  <c r="L52" i="44"/>
  <c r="M52" i="44" s="1"/>
  <c r="O51" i="44"/>
  <c r="N51" i="44"/>
  <c r="L51" i="44"/>
  <c r="M51" i="44" s="1"/>
  <c r="O50" i="44"/>
  <c r="N50" i="44"/>
  <c r="L50" i="44"/>
  <c r="M50" i="44" s="1"/>
  <c r="O49" i="44"/>
  <c r="N49" i="44"/>
  <c r="L49" i="44"/>
  <c r="M49" i="44" s="1"/>
  <c r="O48" i="44"/>
  <c r="N48" i="44"/>
  <c r="L48" i="44"/>
  <c r="M48" i="44" s="1"/>
  <c r="O47" i="44"/>
  <c r="N47" i="44"/>
  <c r="L47" i="44"/>
  <c r="M47" i="44" s="1"/>
  <c r="O46" i="44"/>
  <c r="N46" i="44"/>
  <c r="L46" i="44"/>
  <c r="M46" i="44" s="1"/>
  <c r="O45" i="44"/>
  <c r="N45" i="44"/>
  <c r="L45" i="44"/>
  <c r="M45" i="44" s="1"/>
  <c r="O44" i="44"/>
  <c r="N44" i="44"/>
  <c r="L44" i="44"/>
  <c r="M44" i="44" s="1"/>
  <c r="O43" i="44"/>
  <c r="N43" i="44"/>
  <c r="L43" i="44"/>
  <c r="M43" i="44" s="1"/>
  <c r="O42" i="44"/>
  <c r="N42" i="44"/>
  <c r="L42" i="44"/>
  <c r="M42" i="44" s="1"/>
  <c r="O41" i="44"/>
  <c r="N41" i="44"/>
  <c r="L41" i="44"/>
  <c r="M41" i="44" s="1"/>
  <c r="O40" i="44"/>
  <c r="N40" i="44"/>
  <c r="L40" i="44"/>
  <c r="M40" i="44" s="1"/>
  <c r="O39" i="44"/>
  <c r="N39" i="44"/>
  <c r="L39" i="44"/>
  <c r="M39" i="44" s="1"/>
  <c r="H72" i="44"/>
  <c r="H71" i="44"/>
  <c r="H70" i="44"/>
  <c r="H69" i="44"/>
  <c r="H68" i="44"/>
  <c r="H67" i="44"/>
  <c r="H66" i="44"/>
  <c r="H65" i="44"/>
  <c r="H64" i="44"/>
  <c r="H63" i="44"/>
  <c r="H62" i="44"/>
  <c r="H61" i="44"/>
  <c r="H60" i="44"/>
  <c r="Q60" i="44" s="1"/>
  <c r="H59" i="44"/>
  <c r="H58" i="44"/>
  <c r="H57" i="44"/>
  <c r="H56" i="44"/>
  <c r="H55" i="44"/>
  <c r="H54" i="44"/>
  <c r="H53" i="44"/>
  <c r="H52" i="44"/>
  <c r="H51" i="44"/>
  <c r="H50" i="44"/>
  <c r="H49" i="44"/>
  <c r="H48" i="44"/>
  <c r="H47" i="44"/>
  <c r="H46" i="44"/>
  <c r="H45" i="44"/>
  <c r="H44" i="44"/>
  <c r="H43" i="44"/>
  <c r="H42" i="44"/>
  <c r="H41" i="44"/>
  <c r="H40" i="44"/>
  <c r="H39" i="44"/>
  <c r="H38" i="44"/>
  <c r="H37" i="44"/>
  <c r="T486" i="37"/>
  <c r="S486" i="37"/>
  <c r="K486" i="37"/>
  <c r="F486" i="37"/>
  <c r="P74" i="37"/>
  <c r="R74" i="37" s="1"/>
  <c r="O74" i="37"/>
  <c r="Q74" i="37" s="1"/>
  <c r="N74" i="37"/>
  <c r="M74" i="37"/>
  <c r="F74" i="37"/>
  <c r="T761" i="37"/>
  <c r="T760" i="37"/>
  <c r="T759" i="37"/>
  <c r="T758" i="37"/>
  <c r="L45" i="19"/>
  <c r="L46" i="19"/>
  <c r="L47" i="19"/>
  <c r="L48" i="19"/>
  <c r="G45" i="19"/>
  <c r="G46" i="19"/>
  <c r="G47" i="19"/>
  <c r="G48" i="19"/>
  <c r="L42" i="19"/>
  <c r="L43" i="19"/>
  <c r="L44" i="19"/>
  <c r="L49" i="19"/>
  <c r="L50" i="19"/>
  <c r="L51" i="19"/>
  <c r="G42" i="19"/>
  <c r="G43" i="19"/>
  <c r="G44" i="19"/>
  <c r="G49" i="19"/>
  <c r="G50" i="19"/>
  <c r="G51" i="19"/>
  <c r="S74" i="37" l="1"/>
  <c r="L60" i="44"/>
  <c r="M60" i="44" s="1"/>
  <c r="N60" i="44" s="1"/>
  <c r="T74" i="37"/>
  <c r="N38" i="44"/>
  <c r="N37" i="44"/>
  <c r="N36" i="44"/>
  <c r="N35" i="44"/>
  <c r="N34" i="44"/>
  <c r="N33" i="44"/>
  <c r="N32" i="44"/>
  <c r="N31" i="44"/>
  <c r="N60" i="54" a="1"/>
  <c r="N60" i="54" s="1"/>
  <c r="N59" i="54" a="1"/>
  <c r="N59" i="54" s="1"/>
  <c r="N58" i="54" a="1"/>
  <c r="N58" i="54" s="1"/>
  <c r="N57" i="54" a="1"/>
  <c r="N57" i="54" s="1"/>
  <c r="N56" i="54" a="1"/>
  <c r="N56" i="54" s="1"/>
  <c r="N55" i="54" a="1"/>
  <c r="N55" i="54" s="1"/>
  <c r="N54" i="54" a="1"/>
  <c r="N54" i="54" s="1"/>
  <c r="N53" i="54" a="1"/>
  <c r="N53" i="54" s="1"/>
  <c r="N52" i="54" a="1"/>
  <c r="N52" i="54" s="1"/>
  <c r="N51" i="54" a="1"/>
  <c r="N51" i="54" s="1"/>
  <c r="N50" i="54" a="1"/>
  <c r="N50" i="54" s="1"/>
  <c r="N49" i="54" a="1"/>
  <c r="N49" i="54" s="1"/>
  <c r="N48" i="54" a="1"/>
  <c r="N48" i="54" s="1"/>
  <c r="N47" i="54" a="1"/>
  <c r="N47" i="54" s="1"/>
  <c r="N46" i="54" a="1"/>
  <c r="N46" i="54" s="1"/>
  <c r="N45" i="54" a="1"/>
  <c r="N45" i="54" s="1"/>
  <c r="N44" i="54" a="1"/>
  <c r="N44" i="54" s="1"/>
  <c r="N43" i="54" a="1"/>
  <c r="N43" i="54" s="1"/>
  <c r="N42" i="54" a="1"/>
  <c r="N42" i="54" s="1"/>
  <c r="N41" i="54" a="1"/>
  <c r="N41" i="54" s="1"/>
  <c r="N40" i="54" a="1"/>
  <c r="N40" i="54" s="1"/>
  <c r="N39" i="54" a="1"/>
  <c r="N39" i="54" s="1"/>
  <c r="N38" i="54" a="1"/>
  <c r="N38" i="54" s="1"/>
  <c r="N37" i="54" a="1"/>
  <c r="N37" i="54" s="1"/>
  <c r="N36" i="54" a="1"/>
  <c r="N36" i="54" s="1"/>
  <c r="N35" i="54" a="1"/>
  <c r="N35" i="54" s="1"/>
  <c r="N34" i="54" a="1"/>
  <c r="N34" i="54" s="1"/>
  <c r="N33" i="54" a="1"/>
  <c r="N33" i="54" s="1"/>
  <c r="N32" i="54" a="1"/>
  <c r="N32" i="54" s="1"/>
  <c r="N31" i="54" a="1"/>
  <c r="N31" i="54" s="1"/>
  <c r="N61" i="48" a="1"/>
  <c r="N61" i="48" s="1"/>
  <c r="N60" i="48" a="1"/>
  <c r="N60" i="48" s="1"/>
  <c r="N59" i="48" a="1"/>
  <c r="N59" i="48" s="1"/>
  <c r="N58" i="48" a="1"/>
  <c r="N58" i="48" s="1"/>
  <c r="N57" i="48" a="1"/>
  <c r="N57" i="48" s="1"/>
  <c r="N56" i="48" a="1"/>
  <c r="N56" i="48" s="1"/>
  <c r="N55" i="48" a="1"/>
  <c r="N55" i="48" s="1"/>
  <c r="N54" i="48" a="1"/>
  <c r="N54" i="48" s="1"/>
  <c r="N53" i="48" a="1"/>
  <c r="N53" i="48" s="1"/>
  <c r="N52" i="48" a="1"/>
  <c r="N52" i="48" s="1"/>
  <c r="N51" i="48" a="1"/>
  <c r="N51" i="48" s="1"/>
  <c r="N50" i="48" a="1"/>
  <c r="N50" i="48" s="1"/>
  <c r="N49" i="48" a="1"/>
  <c r="N49" i="48" s="1"/>
  <c r="N48" i="48" a="1"/>
  <c r="N48" i="48" s="1"/>
  <c r="N47" i="48" a="1"/>
  <c r="N47" i="48" s="1"/>
  <c r="N46" i="48" a="1"/>
  <c r="N46" i="48" s="1"/>
  <c r="N45" i="48" a="1"/>
  <c r="N45" i="48" s="1"/>
  <c r="N44" i="48" a="1"/>
  <c r="N44" i="48" s="1"/>
  <c r="N43" i="48" a="1"/>
  <c r="N43" i="48" s="1"/>
  <c r="N42" i="48" a="1"/>
  <c r="N42" i="48" s="1"/>
  <c r="N41" i="48" a="1"/>
  <c r="N41" i="48" s="1"/>
  <c r="N40" i="48" a="1"/>
  <c r="N40" i="48" s="1"/>
  <c r="N39" i="48" a="1"/>
  <c r="N39" i="48" s="1"/>
  <c r="N38" i="48" a="1"/>
  <c r="N38" i="48" s="1"/>
  <c r="N37" i="48" a="1"/>
  <c r="N37" i="48" s="1"/>
  <c r="N36" i="48" a="1"/>
  <c r="N36" i="48" s="1"/>
  <c r="N35" i="48" a="1"/>
  <c r="N35" i="48" s="1"/>
  <c r="N34" i="48" a="1"/>
  <c r="N34" i="48" s="1"/>
  <c r="N33" i="48" a="1"/>
  <c r="N33" i="48" s="1"/>
  <c r="N32" i="48" a="1"/>
  <c r="N32" i="48" s="1"/>
  <c r="N31" i="48" a="1"/>
  <c r="N31" i="48" s="1"/>
  <c r="P60" i="53" a="1"/>
  <c r="P60" i="53" s="1"/>
  <c r="P59" i="53" a="1"/>
  <c r="P59" i="53" s="1"/>
  <c r="P58" i="53" a="1"/>
  <c r="P58" i="53" s="1"/>
  <c r="P57" i="53" a="1"/>
  <c r="P57" i="53" s="1"/>
  <c r="P56" i="53" a="1"/>
  <c r="P56" i="53" s="1"/>
  <c r="P55" i="53" a="1"/>
  <c r="P55" i="53" s="1"/>
  <c r="P54" i="53" a="1"/>
  <c r="P54" i="53" s="1"/>
  <c r="P53" i="53" a="1"/>
  <c r="P53" i="53" s="1"/>
  <c r="P52" i="53" a="1"/>
  <c r="P52" i="53" s="1"/>
  <c r="P51" i="53" a="1"/>
  <c r="P51" i="53" s="1"/>
  <c r="P50" i="53" a="1"/>
  <c r="P50" i="53" s="1"/>
  <c r="P49" i="53" a="1"/>
  <c r="P49" i="53" s="1"/>
  <c r="P48" i="53" a="1"/>
  <c r="P48" i="53" s="1"/>
  <c r="P47" i="53" a="1"/>
  <c r="P47" i="53" s="1"/>
  <c r="P46" i="53" a="1"/>
  <c r="P46" i="53" s="1"/>
  <c r="P45" i="53" a="1"/>
  <c r="P45" i="53" s="1"/>
  <c r="P44" i="53" a="1"/>
  <c r="P44" i="53" s="1"/>
  <c r="P43" i="53" a="1"/>
  <c r="P43" i="53" s="1"/>
  <c r="P42" i="53" a="1"/>
  <c r="P42" i="53" s="1"/>
  <c r="P41" i="53" a="1"/>
  <c r="P41" i="53" s="1"/>
  <c r="P40" i="53" a="1"/>
  <c r="P40" i="53" s="1"/>
  <c r="P39" i="53" a="1"/>
  <c r="P39" i="53" s="1"/>
  <c r="P38" i="53" a="1"/>
  <c r="P38" i="53" s="1"/>
  <c r="P37" i="53" a="1"/>
  <c r="P37" i="53" s="1"/>
  <c r="P36" i="53" a="1"/>
  <c r="P36" i="53" s="1"/>
  <c r="P35" i="53" a="1"/>
  <c r="P35" i="53" s="1"/>
  <c r="P34" i="53" a="1"/>
  <c r="P34" i="53" s="1"/>
  <c r="P32" i="53" a="1"/>
  <c r="P32" i="53" s="1"/>
  <c r="P31" i="53" a="1"/>
  <c r="P31" i="53" s="1"/>
  <c r="P60" i="46" a="1"/>
  <c r="P60" i="46" s="1"/>
  <c r="P59" i="46" a="1"/>
  <c r="P59" i="46" s="1"/>
  <c r="P58" i="46" a="1"/>
  <c r="P58" i="46" s="1"/>
  <c r="P57" i="46" a="1"/>
  <c r="P57" i="46" s="1"/>
  <c r="P56" i="46" a="1"/>
  <c r="P56" i="46" s="1"/>
  <c r="P55" i="46" a="1"/>
  <c r="P55" i="46" s="1"/>
  <c r="P54" i="46" a="1"/>
  <c r="P54" i="46" s="1"/>
  <c r="P53" i="46" a="1"/>
  <c r="P53" i="46" s="1"/>
  <c r="P52" i="46" a="1"/>
  <c r="P52" i="46" s="1"/>
  <c r="P51" i="46" a="1"/>
  <c r="P51" i="46" s="1"/>
  <c r="P50" i="46" a="1"/>
  <c r="P50" i="46" s="1"/>
  <c r="P49" i="46" a="1"/>
  <c r="P49" i="46" s="1"/>
  <c r="P48" i="46" a="1"/>
  <c r="P48" i="46" s="1"/>
  <c r="P47" i="46" a="1"/>
  <c r="P47" i="46" s="1"/>
  <c r="P46" i="46" a="1"/>
  <c r="P46" i="46" s="1"/>
  <c r="P45" i="46" a="1"/>
  <c r="P45" i="46" s="1"/>
  <c r="P44" i="46" a="1"/>
  <c r="P44" i="46" s="1"/>
  <c r="P43" i="46" a="1"/>
  <c r="P43" i="46" s="1"/>
  <c r="P42" i="46" a="1"/>
  <c r="P42" i="46" s="1"/>
  <c r="P41" i="46" a="1"/>
  <c r="P41" i="46" s="1"/>
  <c r="P40" i="46" a="1"/>
  <c r="P40" i="46" s="1"/>
  <c r="P39" i="46" a="1"/>
  <c r="P39" i="46" s="1"/>
  <c r="P38" i="46" a="1"/>
  <c r="P38" i="46" s="1"/>
  <c r="P37" i="46" a="1"/>
  <c r="P37" i="46" s="1"/>
  <c r="P36" i="46" a="1"/>
  <c r="P36" i="46" s="1"/>
  <c r="P34" i="46" a="1"/>
  <c r="P34" i="46" s="1"/>
  <c r="P33" i="46" a="1"/>
  <c r="P33" i="46" s="1"/>
  <c r="P32" i="46" a="1"/>
  <c r="P32" i="46" s="1"/>
  <c r="P31" i="46" a="1"/>
  <c r="P31" i="46" s="1"/>
  <c r="N61" i="45"/>
  <c r="N60" i="45"/>
  <c r="N59" i="45"/>
  <c r="N58" i="45"/>
  <c r="N57" i="45"/>
  <c r="N56" i="45"/>
  <c r="N55" i="45"/>
  <c r="N54" i="45"/>
  <c r="N53" i="45"/>
  <c r="N52" i="45"/>
  <c r="N51" i="45"/>
  <c r="N50" i="45"/>
  <c r="N49" i="45"/>
  <c r="N48" i="45"/>
  <c r="N47" i="45"/>
  <c r="N46" i="45"/>
  <c r="N45" i="45"/>
  <c r="N44" i="45"/>
  <c r="N43" i="45"/>
  <c r="N42" i="45"/>
  <c r="N41" i="45"/>
  <c r="N40" i="45"/>
  <c r="N39" i="45"/>
  <c r="N38" i="45"/>
  <c r="N37" i="45"/>
  <c r="N36" i="45"/>
  <c r="N35" i="45"/>
  <c r="N34" i="45"/>
  <c r="N33" i="45"/>
  <c r="N32" i="45"/>
  <c r="N60" i="43"/>
  <c r="N59" i="43"/>
  <c r="N58" i="43"/>
  <c r="N57" i="43"/>
  <c r="N56" i="43"/>
  <c r="N55" i="43"/>
  <c r="N54" i="43"/>
  <c r="N53" i="43"/>
  <c r="N52" i="43"/>
  <c r="N51" i="43"/>
  <c r="N50" i="43"/>
  <c r="N49" i="43"/>
  <c r="N48" i="43"/>
  <c r="N47" i="43"/>
  <c r="N46" i="43"/>
  <c r="N45" i="43"/>
  <c r="N44" i="43"/>
  <c r="N43" i="43"/>
  <c r="N42" i="43"/>
  <c r="N41" i="43"/>
  <c r="N40" i="43"/>
  <c r="N39" i="43"/>
  <c r="N38" i="43"/>
  <c r="N37" i="43"/>
  <c r="N36" i="43"/>
  <c r="N35" i="43"/>
  <c r="N34" i="43"/>
  <c r="N33" i="43"/>
  <c r="N32" i="43"/>
  <c r="N31" i="43"/>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N60" i="41"/>
  <c r="N59" i="41"/>
  <c r="N58" i="41"/>
  <c r="N57" i="41"/>
  <c r="N56" i="41"/>
  <c r="N55" i="41"/>
  <c r="N54" i="41"/>
  <c r="N53" i="41"/>
  <c r="N52" i="41"/>
  <c r="N51" i="41"/>
  <c r="N50" i="41"/>
  <c r="N49" i="41"/>
  <c r="N48" i="41"/>
  <c r="N47" i="41"/>
  <c r="N46" i="41"/>
  <c r="N45" i="41"/>
  <c r="N44" i="41"/>
  <c r="N43" i="41"/>
  <c r="N42" i="41"/>
  <c r="N41" i="41"/>
  <c r="N40" i="41"/>
  <c r="N39" i="41"/>
  <c r="N38" i="41"/>
  <c r="N37" i="41"/>
  <c r="N36" i="41"/>
  <c r="N35" i="41"/>
  <c r="N34" i="41"/>
  <c r="N33" i="41"/>
  <c r="N31" i="41"/>
  <c r="E14" i="24" l="1"/>
  <c r="E15" i="24"/>
  <c r="F36" i="1"/>
  <c r="Q60" i="33"/>
  <c r="Q59" i="33"/>
  <c r="Q58" i="33"/>
  <c r="Q57" i="33"/>
  <c r="Q56" i="33"/>
  <c r="Q55" i="33"/>
  <c r="Q54" i="33"/>
  <c r="Q53" i="33"/>
  <c r="Q52" i="33"/>
  <c r="Q51" i="33"/>
  <c r="Q50" i="33"/>
  <c r="Q49" i="33"/>
  <c r="Q48" i="33"/>
  <c r="Q47" i="33"/>
  <c r="Q46" i="33"/>
  <c r="Q45" i="33"/>
  <c r="Q44" i="33"/>
  <c r="Q43" i="33"/>
  <c r="Q42" i="33"/>
  <c r="Q41" i="33"/>
  <c r="Q40" i="33"/>
  <c r="Q39" i="33"/>
  <c r="Q38" i="33"/>
  <c r="H30" i="44"/>
  <c r="L31" i="41" l="1"/>
  <c r="K34" i="48"/>
  <c r="G55" i="42"/>
  <c r="G54" i="42"/>
  <c r="G53" i="42"/>
  <c r="G52" i="42"/>
  <c r="G51" i="42"/>
  <c r="G50" i="42"/>
  <c r="G49" i="42"/>
  <c r="G48" i="42"/>
  <c r="G47" i="42"/>
  <c r="G46" i="42"/>
  <c r="G45" i="42"/>
  <c r="G44" i="42"/>
  <c r="G43" i="42"/>
  <c r="G42" i="42"/>
  <c r="G41" i="42"/>
  <c r="G40" i="42"/>
  <c r="G39" i="42"/>
  <c r="G38" i="42"/>
  <c r="G37" i="42"/>
  <c r="G36" i="42"/>
  <c r="G35" i="42"/>
  <c r="G34" i="42"/>
  <c r="G33" i="42"/>
  <c r="G32" i="42"/>
  <c r="G31" i="42"/>
  <c r="H31" i="41"/>
  <c r="Q31" i="41" s="1"/>
  <c r="H32" i="41"/>
  <c r="I33" i="53"/>
  <c r="M620" i="37"/>
  <c r="M619" i="37"/>
  <c r="M618" i="37"/>
  <c r="M617" i="37"/>
  <c r="M616" i="37"/>
  <c r="M583" i="37"/>
  <c r="M568" i="37"/>
  <c r="M517" i="37"/>
  <c r="E27" i="44"/>
  <c r="E27" i="54"/>
  <c r="E27" i="48"/>
  <c r="E27" i="53"/>
  <c r="E27" i="46"/>
  <c r="E27" i="45"/>
  <c r="E27" i="43"/>
  <c r="E27" i="42"/>
  <c r="E27" i="41"/>
  <c r="E27" i="33"/>
  <c r="D60" i="1"/>
  <c r="D12" i="1"/>
  <c r="D29" i="1"/>
  <c r="F15" i="1"/>
  <c r="H31" i="44" l="1"/>
  <c r="H36" i="44" l="1"/>
  <c r="H35" i="44"/>
  <c r="H34" i="44"/>
  <c r="H33" i="44"/>
  <c r="H32" i="44"/>
  <c r="H61" i="48"/>
  <c r="H60" i="48"/>
  <c r="H59" i="48"/>
  <c r="H58" i="48"/>
  <c r="H57" i="48"/>
  <c r="H56" i="48"/>
  <c r="H55" i="48"/>
  <c r="H54" i="48"/>
  <c r="H53" i="48"/>
  <c r="H52" i="48"/>
  <c r="H51" i="48"/>
  <c r="H50" i="48"/>
  <c r="H49" i="48"/>
  <c r="H48" i="48"/>
  <c r="H47" i="48"/>
  <c r="H46" i="48"/>
  <c r="H45" i="48"/>
  <c r="H44" i="48"/>
  <c r="H43" i="48"/>
  <c r="H42" i="48"/>
  <c r="H41" i="48"/>
  <c r="H40" i="48"/>
  <c r="H39" i="48"/>
  <c r="H38" i="48"/>
  <c r="H37" i="48"/>
  <c r="H36" i="48"/>
  <c r="H35" i="48"/>
  <c r="H34" i="48"/>
  <c r="H33" i="48"/>
  <c r="H32" i="48"/>
  <c r="H31" i="48"/>
  <c r="M236" i="37"/>
  <c r="F236" i="37"/>
  <c r="F237" i="37"/>
  <c r="M237" i="37"/>
  <c r="H31" i="54"/>
  <c r="H32" i="54"/>
  <c r="H33" i="54"/>
  <c r="H34" i="54"/>
  <c r="H35" i="54"/>
  <c r="H36" i="54"/>
  <c r="H37" i="54"/>
  <c r="H38" i="54"/>
  <c r="H39" i="54"/>
  <c r="H40" i="54"/>
  <c r="H41" i="54"/>
  <c r="H42" i="54"/>
  <c r="H43" i="54"/>
  <c r="H44" i="54"/>
  <c r="H45" i="54"/>
  <c r="H46" i="54"/>
  <c r="H47" i="54"/>
  <c r="H48" i="54"/>
  <c r="H49" i="54"/>
  <c r="H50" i="54"/>
  <c r="H51" i="54"/>
  <c r="H52" i="54"/>
  <c r="H53" i="54"/>
  <c r="H54" i="54"/>
  <c r="H55" i="54"/>
  <c r="H56" i="54"/>
  <c r="H57" i="54"/>
  <c r="H58" i="54"/>
  <c r="H59" i="54"/>
  <c r="H60" i="54"/>
  <c r="F50" i="1"/>
  <c r="F49" i="1"/>
  <c r="F48" i="1"/>
  <c r="F47" i="1"/>
  <c r="F46" i="1"/>
  <c r="F45" i="1"/>
  <c r="F44" i="1"/>
  <c r="F43" i="1"/>
  <c r="F42" i="1"/>
  <c r="E50" i="1"/>
  <c r="E49" i="1"/>
  <c r="E48" i="1"/>
  <c r="E47" i="1"/>
  <c r="E46" i="1"/>
  <c r="E45" i="1"/>
  <c r="E44" i="1"/>
  <c r="E43" i="1"/>
  <c r="E42" i="1"/>
  <c r="F34" i="1" l="1"/>
  <c r="F32" i="1"/>
  <c r="D18" i="1" l="1"/>
  <c r="L58" i="19"/>
  <c r="L57" i="19"/>
  <c r="L56" i="19"/>
  <c r="L55" i="19"/>
  <c r="L54" i="19"/>
  <c r="L53" i="19"/>
  <c r="L52" i="19"/>
  <c r="L41" i="19"/>
  <c r="L40" i="19"/>
  <c r="L39" i="19"/>
  <c r="L38" i="19"/>
  <c r="E15" i="1"/>
  <c r="D58" i="1"/>
  <c r="D57" i="1"/>
  <c r="L30" i="1"/>
  <c r="L18" i="1"/>
  <c r="Z59" i="46"/>
  <c r="Y47" i="46"/>
  <c r="AA47" i="46" s="1"/>
  <c r="I34" i="46"/>
  <c r="D4" i="1"/>
  <c r="D17" i="1" s="1"/>
  <c r="H38" i="33"/>
  <c r="H42" i="33"/>
  <c r="U42" i="33" s="1"/>
  <c r="H41" i="33"/>
  <c r="Z41" i="33" s="1"/>
  <c r="H40" i="33"/>
  <c r="Z40" i="33" s="1"/>
  <c r="H39" i="33"/>
  <c r="U39" i="33" s="1"/>
  <c r="H37" i="33"/>
  <c r="H36" i="33"/>
  <c r="Q36" i="33" s="1"/>
  <c r="H35" i="33"/>
  <c r="H34" i="33"/>
  <c r="Q34" i="33" s="1"/>
  <c r="H33" i="33"/>
  <c r="Q33" i="33" s="1"/>
  <c r="H32" i="33"/>
  <c r="H31" i="33"/>
  <c r="F20" i="39"/>
  <c r="G34" i="19"/>
  <c r="G35" i="19"/>
  <c r="G36" i="19"/>
  <c r="G37" i="19"/>
  <c r="G38" i="19"/>
  <c r="G39" i="19"/>
  <c r="G40" i="19"/>
  <c r="G41" i="19"/>
  <c r="G52" i="19"/>
  <c r="G53" i="19"/>
  <c r="G54" i="19"/>
  <c r="G55" i="19"/>
  <c r="G56" i="19"/>
  <c r="G57" i="19"/>
  <c r="G58" i="19"/>
  <c r="K34" i="33"/>
  <c r="T34" i="33" s="1"/>
  <c r="X34" i="33" s="1"/>
  <c r="K38" i="33"/>
  <c r="T38" i="33" s="1"/>
  <c r="A2" i="37"/>
  <c r="D401" i="37" s="1"/>
  <c r="M30" i="44"/>
  <c r="L30" i="44"/>
  <c r="A2" i="44"/>
  <c r="V30" i="54"/>
  <c r="U30" i="54"/>
  <c r="T30" i="54"/>
  <c r="M30" i="54"/>
  <c r="L30" i="54"/>
  <c r="K30" i="54"/>
  <c r="H30" i="54"/>
  <c r="A2" i="54"/>
  <c r="V30" i="48"/>
  <c r="U30" i="48"/>
  <c r="T30" i="48"/>
  <c r="M30" i="48"/>
  <c r="L30" i="48"/>
  <c r="K30" i="48"/>
  <c r="H30" i="48"/>
  <c r="A2" i="48"/>
  <c r="J23" i="48" s="1"/>
  <c r="J30" i="48" s="1"/>
  <c r="X30" i="53"/>
  <c r="W30" i="53"/>
  <c r="V30" i="53"/>
  <c r="O30" i="53"/>
  <c r="N30" i="53"/>
  <c r="M30" i="53"/>
  <c r="I30" i="53"/>
  <c r="A2" i="53"/>
  <c r="AA23" i="53" s="1"/>
  <c r="AA30" i="53" s="1"/>
  <c r="X30" i="46"/>
  <c r="W30" i="46"/>
  <c r="V30" i="46"/>
  <c r="O30" i="46"/>
  <c r="N30" i="46"/>
  <c r="M30" i="46"/>
  <c r="I30" i="46"/>
  <c r="A2" i="46"/>
  <c r="D29" i="46" s="1"/>
  <c r="M30" i="45"/>
  <c r="L30" i="45"/>
  <c r="K30" i="45"/>
  <c r="H30" i="45"/>
  <c r="G30" i="45"/>
  <c r="A2" i="45"/>
  <c r="D4" i="45" s="1"/>
  <c r="M30" i="43"/>
  <c r="L30" i="43"/>
  <c r="K30" i="43"/>
  <c r="H30" i="43"/>
  <c r="G30" i="43"/>
  <c r="A2" i="43"/>
  <c r="F23" i="43" s="1"/>
  <c r="F30" i="43" s="1"/>
  <c r="L30" i="42"/>
  <c r="K30" i="42"/>
  <c r="J30" i="42"/>
  <c r="G30" i="42"/>
  <c r="P14" i="42"/>
  <c r="P14" i="43" s="1"/>
  <c r="P14" i="45" s="1"/>
  <c r="Q14" i="46" s="1"/>
  <c r="Q14" i="53" s="1"/>
  <c r="P14" i="48" s="1"/>
  <c r="P14" i="54" s="1"/>
  <c r="P14" i="44" s="1"/>
  <c r="A2" i="42"/>
  <c r="D23" i="42" s="1"/>
  <c r="D30" i="42" s="1"/>
  <c r="V30" i="41"/>
  <c r="U30" i="41"/>
  <c r="T30" i="41"/>
  <c r="M30" i="41"/>
  <c r="L30" i="41"/>
  <c r="K30" i="41"/>
  <c r="H30" i="41"/>
  <c r="V30" i="33"/>
  <c r="U30" i="33"/>
  <c r="T30" i="33"/>
  <c r="M30" i="33"/>
  <c r="L30" i="33"/>
  <c r="K30" i="33"/>
  <c r="H30" i="33"/>
  <c r="A2" i="41"/>
  <c r="A2" i="33"/>
  <c r="A2" i="24"/>
  <c r="D24" i="24" s="1"/>
  <c r="A2" i="19"/>
  <c r="A2" i="59"/>
  <c r="D64" i="1"/>
  <c r="D63" i="1"/>
  <c r="D61" i="1"/>
  <c r="D55" i="1"/>
  <c r="D54" i="1"/>
  <c r="F41" i="1"/>
  <c r="F40" i="1"/>
  <c r="F38" i="1"/>
  <c r="F39" i="1"/>
  <c r="F37" i="1"/>
  <c r="E37" i="1"/>
  <c r="E39" i="1"/>
  <c r="E38" i="1"/>
  <c r="E40" i="1"/>
  <c r="E41" i="1"/>
  <c r="E36" i="1"/>
  <c r="D36" i="1"/>
  <c r="F35" i="1"/>
  <c r="E35" i="1"/>
  <c r="E34" i="1"/>
  <c r="D34" i="1"/>
  <c r="F33" i="1"/>
  <c r="F31" i="1"/>
  <c r="E33" i="1"/>
  <c r="E32" i="1"/>
  <c r="E31" i="1"/>
  <c r="D31" i="1"/>
  <c r="F30" i="1"/>
  <c r="E30" i="1"/>
  <c r="D30" i="1"/>
  <c r="D15" i="1"/>
  <c r="P60" i="42"/>
  <c r="P59" i="42"/>
  <c r="P58" i="42"/>
  <c r="P57" i="42"/>
  <c r="P56" i="42"/>
  <c r="P55" i="42"/>
  <c r="P54" i="42"/>
  <c r="P53" i="42"/>
  <c r="P52" i="42"/>
  <c r="P51" i="42"/>
  <c r="P50" i="42"/>
  <c r="P49" i="42"/>
  <c r="P48" i="42"/>
  <c r="P47" i="42"/>
  <c r="P46" i="42"/>
  <c r="P45" i="42"/>
  <c r="P44" i="42"/>
  <c r="P43" i="42"/>
  <c r="P42" i="42"/>
  <c r="P41" i="42"/>
  <c r="P40" i="42"/>
  <c r="P39" i="42"/>
  <c r="P38" i="42"/>
  <c r="P37" i="42"/>
  <c r="P36" i="42"/>
  <c r="S761" i="37"/>
  <c r="S760" i="37"/>
  <c r="S759" i="37"/>
  <c r="S758" i="37"/>
  <c r="M761" i="37"/>
  <c r="F761" i="37"/>
  <c r="M760" i="37"/>
  <c r="F760" i="37"/>
  <c r="M759" i="37"/>
  <c r="Z34" i="43" s="1"/>
  <c r="F759" i="37"/>
  <c r="M758" i="37"/>
  <c r="F758" i="37"/>
  <c r="F769" i="37"/>
  <c r="F768" i="37"/>
  <c r="F767" i="37"/>
  <c r="F766" i="37"/>
  <c r="F765" i="37"/>
  <c r="F764" i="37"/>
  <c r="F763" i="37"/>
  <c r="F762" i="37"/>
  <c r="F757" i="37"/>
  <c r="F756" i="37"/>
  <c r="F755" i="37"/>
  <c r="F754" i="37"/>
  <c r="F753" i="37"/>
  <c r="F752" i="37"/>
  <c r="F751" i="37"/>
  <c r="F750" i="37"/>
  <c r="F749" i="37"/>
  <c r="F748" i="37"/>
  <c r="F747" i="37"/>
  <c r="F746" i="37"/>
  <c r="F745" i="37"/>
  <c r="F744" i="37"/>
  <c r="F743" i="37"/>
  <c r="F742" i="37"/>
  <c r="F741" i="37"/>
  <c r="F740" i="37"/>
  <c r="F739" i="37"/>
  <c r="F738" i="37"/>
  <c r="F737" i="37"/>
  <c r="F736" i="37"/>
  <c r="F735" i="37"/>
  <c r="F734" i="37"/>
  <c r="F733" i="37"/>
  <c r="F732" i="37"/>
  <c r="F731" i="37"/>
  <c r="F730" i="37"/>
  <c r="F729" i="37"/>
  <c r="F728" i="37"/>
  <c r="F727" i="37"/>
  <c r="F726" i="37"/>
  <c r="F725" i="37"/>
  <c r="F724" i="37"/>
  <c r="F723" i="37"/>
  <c r="F722" i="37"/>
  <c r="F721" i="37"/>
  <c r="F720" i="37"/>
  <c r="F719" i="37"/>
  <c r="F718" i="37"/>
  <c r="F717" i="37"/>
  <c r="F716" i="37"/>
  <c r="F715" i="37"/>
  <c r="F714" i="37"/>
  <c r="F713" i="37"/>
  <c r="F712" i="37"/>
  <c r="F711" i="37"/>
  <c r="F710" i="37"/>
  <c r="F709" i="37"/>
  <c r="F708" i="37"/>
  <c r="F707" i="37"/>
  <c r="F706" i="37"/>
  <c r="F705" i="37"/>
  <c r="F704" i="37"/>
  <c r="F703" i="37"/>
  <c r="F702" i="37"/>
  <c r="F701" i="37"/>
  <c r="F700" i="37"/>
  <c r="F699" i="37"/>
  <c r="F698" i="37"/>
  <c r="F697" i="37"/>
  <c r="F696" i="37"/>
  <c r="F695" i="37"/>
  <c r="F694" i="37"/>
  <c r="F693" i="37"/>
  <c r="F692" i="37"/>
  <c r="F691" i="37"/>
  <c r="F690" i="37"/>
  <c r="F689" i="37"/>
  <c r="F688" i="37"/>
  <c r="F687" i="37"/>
  <c r="F686" i="37"/>
  <c r="F685" i="37"/>
  <c r="F684" i="37"/>
  <c r="F683" i="37"/>
  <c r="F682" i="37"/>
  <c r="F681" i="37"/>
  <c r="F680" i="37"/>
  <c r="F679" i="37"/>
  <c r="F678" i="37"/>
  <c r="F677" i="37"/>
  <c r="F676" i="37"/>
  <c r="F675" i="37"/>
  <c r="F674" i="37"/>
  <c r="F673" i="37"/>
  <c r="F672" i="37"/>
  <c r="F671" i="37"/>
  <c r="F670" i="37"/>
  <c r="F669" i="37"/>
  <c r="F668" i="37"/>
  <c r="F667" i="37"/>
  <c r="F666" i="37"/>
  <c r="F665" i="37"/>
  <c r="F664" i="37"/>
  <c r="F663" i="37"/>
  <c r="F662" i="37"/>
  <c r="F661" i="37"/>
  <c r="F660" i="37"/>
  <c r="F659" i="37"/>
  <c r="F658" i="37"/>
  <c r="F657" i="37"/>
  <c r="F656" i="37"/>
  <c r="F655" i="37"/>
  <c r="F654" i="37"/>
  <c r="F653" i="37"/>
  <c r="F652" i="37"/>
  <c r="F651" i="37"/>
  <c r="F650" i="37"/>
  <c r="F649" i="37"/>
  <c r="F648" i="37"/>
  <c r="F647" i="37"/>
  <c r="F646" i="37"/>
  <c r="F645" i="37"/>
  <c r="F644" i="37"/>
  <c r="F643" i="37"/>
  <c r="F642" i="37"/>
  <c r="F641" i="37"/>
  <c r="F640" i="37"/>
  <c r="F639" i="37"/>
  <c r="F638" i="37"/>
  <c r="F637" i="37"/>
  <c r="F636" i="37"/>
  <c r="F635" i="37"/>
  <c r="F634" i="37"/>
  <c r="F633" i="37"/>
  <c r="F632" i="37"/>
  <c r="F631" i="37"/>
  <c r="F630" i="37"/>
  <c r="F629" i="37"/>
  <c r="F628" i="37"/>
  <c r="F627" i="37"/>
  <c r="F626" i="37"/>
  <c r="F625" i="37"/>
  <c r="F624" i="37"/>
  <c r="F623" i="37"/>
  <c r="F622" i="37"/>
  <c r="F621" i="37"/>
  <c r="F620" i="37"/>
  <c r="F619" i="37"/>
  <c r="F618" i="37"/>
  <c r="F617" i="37"/>
  <c r="F616" i="37"/>
  <c r="F615" i="37"/>
  <c r="F614" i="37"/>
  <c r="F613" i="37"/>
  <c r="F612" i="37"/>
  <c r="F611" i="37"/>
  <c r="F610" i="37"/>
  <c r="F609" i="37"/>
  <c r="F608" i="37"/>
  <c r="F607" i="37"/>
  <c r="F606" i="37"/>
  <c r="F605" i="37"/>
  <c r="F604" i="37"/>
  <c r="F603" i="37"/>
  <c r="F602" i="37"/>
  <c r="F601" i="37"/>
  <c r="F600" i="37"/>
  <c r="F599" i="37"/>
  <c r="F598" i="37"/>
  <c r="F597" i="37"/>
  <c r="F596" i="37"/>
  <c r="F595" i="37"/>
  <c r="F594" i="37"/>
  <c r="F593" i="37"/>
  <c r="F592" i="37"/>
  <c r="F591" i="37"/>
  <c r="F590" i="37"/>
  <c r="F589" i="37"/>
  <c r="F588" i="37"/>
  <c r="F587" i="37"/>
  <c r="F586" i="37"/>
  <c r="F585" i="37"/>
  <c r="F584" i="37"/>
  <c r="F583" i="37"/>
  <c r="F582" i="37"/>
  <c r="F581" i="37"/>
  <c r="F580" i="37"/>
  <c r="F579" i="37"/>
  <c r="F578" i="37"/>
  <c r="F577" i="37"/>
  <c r="F576" i="37"/>
  <c r="F575" i="37"/>
  <c r="F574" i="37"/>
  <c r="F573" i="37"/>
  <c r="F572" i="37"/>
  <c r="F571" i="37"/>
  <c r="F570" i="37"/>
  <c r="F569" i="37"/>
  <c r="F568" i="37"/>
  <c r="F567" i="37"/>
  <c r="F566" i="37"/>
  <c r="F565" i="37"/>
  <c r="F564" i="37"/>
  <c r="F563" i="37"/>
  <c r="F562" i="37"/>
  <c r="F561" i="37"/>
  <c r="F560" i="37"/>
  <c r="F559" i="37"/>
  <c r="F558" i="37"/>
  <c r="F557" i="37"/>
  <c r="F556" i="37"/>
  <c r="F555" i="37"/>
  <c r="F554" i="37"/>
  <c r="F553" i="37"/>
  <c r="F552" i="37"/>
  <c r="F550" i="37"/>
  <c r="F549" i="37"/>
  <c r="F548" i="37"/>
  <c r="F547" i="37"/>
  <c r="F546" i="37"/>
  <c r="F545" i="37"/>
  <c r="F544" i="37"/>
  <c r="F543" i="37"/>
  <c r="F542" i="37"/>
  <c r="F541" i="37"/>
  <c r="F540" i="37"/>
  <c r="F539" i="37"/>
  <c r="F538" i="37"/>
  <c r="F537" i="37"/>
  <c r="F536" i="37"/>
  <c r="F535" i="37"/>
  <c r="F534" i="37"/>
  <c r="F533" i="37"/>
  <c r="F532" i="37"/>
  <c r="F531" i="37"/>
  <c r="F530" i="37"/>
  <c r="F529" i="37"/>
  <c r="F528" i="37"/>
  <c r="F527" i="37"/>
  <c r="F526" i="37"/>
  <c r="F525" i="37"/>
  <c r="F524" i="37"/>
  <c r="F523" i="37"/>
  <c r="F522" i="37"/>
  <c r="F521" i="37"/>
  <c r="F520" i="37"/>
  <c r="F519" i="37"/>
  <c r="F518" i="37"/>
  <c r="F517" i="37"/>
  <c r="F516" i="37"/>
  <c r="F515" i="37"/>
  <c r="F514" i="37"/>
  <c r="F513" i="37"/>
  <c r="F512" i="37"/>
  <c r="F511" i="37"/>
  <c r="F510" i="37"/>
  <c r="F509" i="37"/>
  <c r="F508" i="37"/>
  <c r="F507" i="37"/>
  <c r="F506" i="37"/>
  <c r="F505" i="37"/>
  <c r="F504" i="37"/>
  <c r="F503" i="37"/>
  <c r="F502" i="37"/>
  <c r="F501" i="37"/>
  <c r="F500" i="37"/>
  <c r="F499" i="37"/>
  <c r="F498" i="37"/>
  <c r="F497" i="37"/>
  <c r="F496" i="37"/>
  <c r="F495" i="37"/>
  <c r="F494" i="37"/>
  <c r="F493" i="37"/>
  <c r="F492" i="37"/>
  <c r="F491" i="37"/>
  <c r="F490" i="37"/>
  <c r="F489" i="37"/>
  <c r="F488" i="37"/>
  <c r="F487" i="37"/>
  <c r="F485" i="37"/>
  <c r="F484" i="37"/>
  <c r="F483" i="37"/>
  <c r="F482" i="37"/>
  <c r="F481" i="37"/>
  <c r="F480" i="37"/>
  <c r="F479" i="37"/>
  <c r="F478" i="37"/>
  <c r="F477" i="37"/>
  <c r="F476" i="37"/>
  <c r="F475" i="37"/>
  <c r="F474" i="37"/>
  <c r="F473" i="37"/>
  <c r="F472" i="37"/>
  <c r="F471" i="37"/>
  <c r="F470" i="37"/>
  <c r="F469" i="37"/>
  <c r="F468" i="37"/>
  <c r="F467" i="37"/>
  <c r="F466" i="37"/>
  <c r="F465" i="37"/>
  <c r="F464" i="37"/>
  <c r="F463" i="37"/>
  <c r="F462" i="37"/>
  <c r="F461" i="37"/>
  <c r="F460" i="37"/>
  <c r="F459" i="37"/>
  <c r="F458" i="37"/>
  <c r="F457" i="37"/>
  <c r="F456" i="37"/>
  <c r="F455" i="37"/>
  <c r="F454" i="37"/>
  <c r="F453" i="37"/>
  <c r="F452" i="37"/>
  <c r="F451" i="37"/>
  <c r="F450" i="37"/>
  <c r="F449" i="37"/>
  <c r="F448" i="37"/>
  <c r="F447" i="37"/>
  <c r="F446" i="37"/>
  <c r="F445" i="37"/>
  <c r="F444" i="37"/>
  <c r="F443" i="37"/>
  <c r="F442" i="37"/>
  <c r="F441" i="37"/>
  <c r="F440" i="37"/>
  <c r="F439" i="37"/>
  <c r="F438" i="37"/>
  <c r="F437" i="37"/>
  <c r="F436" i="37"/>
  <c r="F435" i="37"/>
  <c r="F434" i="37"/>
  <c r="F433" i="37"/>
  <c r="F432" i="37"/>
  <c r="H97" i="48"/>
  <c r="H96" i="48"/>
  <c r="H95" i="48"/>
  <c r="H94" i="48"/>
  <c r="H93" i="48"/>
  <c r="H92" i="48"/>
  <c r="H91" i="48"/>
  <c r="H90" i="48"/>
  <c r="H89" i="48"/>
  <c r="H88" i="48"/>
  <c r="H87" i="48"/>
  <c r="H86" i="48"/>
  <c r="H85" i="48"/>
  <c r="H84" i="48"/>
  <c r="H83" i="48"/>
  <c r="H82" i="48"/>
  <c r="H81" i="48"/>
  <c r="H80" i="48"/>
  <c r="H79" i="48"/>
  <c r="H78" i="48"/>
  <c r="H77" i="48"/>
  <c r="H76" i="48"/>
  <c r="H75" i="48"/>
  <c r="H74" i="48"/>
  <c r="H73" i="48"/>
  <c r="H72" i="48"/>
  <c r="H71" i="48"/>
  <c r="H70" i="48"/>
  <c r="H69" i="48"/>
  <c r="H68" i="48"/>
  <c r="H67" i="48"/>
  <c r="Z32" i="48"/>
  <c r="Z31" i="48"/>
  <c r="K97" i="48"/>
  <c r="T97" i="48" s="1"/>
  <c r="K96" i="48"/>
  <c r="K95" i="48"/>
  <c r="K94" i="48"/>
  <c r="K93" i="48"/>
  <c r="K92" i="48"/>
  <c r="K91" i="48"/>
  <c r="T91" i="48" s="1"/>
  <c r="K90" i="48"/>
  <c r="T90" i="48" s="1"/>
  <c r="K89" i="48"/>
  <c r="T89" i="48" s="1"/>
  <c r="K88" i="48"/>
  <c r="K87" i="48"/>
  <c r="K86" i="48"/>
  <c r="K85" i="48"/>
  <c r="K84" i="48"/>
  <c r="K83" i="48"/>
  <c r="T83" i="48" s="1"/>
  <c r="K82" i="48"/>
  <c r="T82" i="48" s="1"/>
  <c r="K81" i="48"/>
  <c r="T81" i="48" s="1"/>
  <c r="K80" i="48"/>
  <c r="K79" i="48"/>
  <c r="K78" i="48"/>
  <c r="K77" i="48"/>
  <c r="K76" i="48"/>
  <c r="K75" i="48"/>
  <c r="T75" i="48" s="1"/>
  <c r="K74" i="48"/>
  <c r="T74" i="48" s="1"/>
  <c r="K73" i="48"/>
  <c r="T73" i="48" s="1"/>
  <c r="K72" i="48"/>
  <c r="K71" i="48"/>
  <c r="K70" i="48"/>
  <c r="K69" i="48"/>
  <c r="K68" i="48"/>
  <c r="K67" i="48"/>
  <c r="T67" i="48" s="1"/>
  <c r="K95" i="43"/>
  <c r="T95" i="43" s="1"/>
  <c r="K94" i="43"/>
  <c r="T94" i="43" s="1"/>
  <c r="K93" i="43"/>
  <c r="K92" i="43"/>
  <c r="K91" i="43"/>
  <c r="K90" i="43"/>
  <c r="K89" i="43"/>
  <c r="T89" i="43" s="1"/>
  <c r="K88" i="43"/>
  <c r="K87" i="43"/>
  <c r="T87" i="43" s="1"/>
  <c r="K86" i="43"/>
  <c r="T86" i="43" s="1"/>
  <c r="K85" i="43"/>
  <c r="K84" i="43"/>
  <c r="K83" i="43"/>
  <c r="K82" i="43"/>
  <c r="K81" i="43"/>
  <c r="K80" i="43"/>
  <c r="K79" i="43"/>
  <c r="T79" i="43" s="1"/>
  <c r="K78" i="43"/>
  <c r="T78" i="43" s="1"/>
  <c r="K77" i="43"/>
  <c r="T77" i="43" s="1"/>
  <c r="K76" i="43"/>
  <c r="K75" i="43"/>
  <c r="K74" i="43"/>
  <c r="T74" i="43" s="1"/>
  <c r="K73" i="43"/>
  <c r="K72" i="43"/>
  <c r="K71" i="43"/>
  <c r="T71" i="43" s="1"/>
  <c r="K70" i="43"/>
  <c r="T70" i="43" s="1"/>
  <c r="K69" i="43"/>
  <c r="K68" i="43"/>
  <c r="K67" i="43"/>
  <c r="K66" i="43"/>
  <c r="K95" i="41"/>
  <c r="T95" i="41" s="1"/>
  <c r="K94" i="41"/>
  <c r="T94" i="41" s="1"/>
  <c r="K93" i="41"/>
  <c r="T93" i="41" s="1"/>
  <c r="K92" i="41"/>
  <c r="T92" i="41" s="1"/>
  <c r="K91" i="41"/>
  <c r="T91" i="41" s="1"/>
  <c r="K90" i="41"/>
  <c r="K89" i="41"/>
  <c r="K88" i="41"/>
  <c r="K87" i="41"/>
  <c r="T87" i="41" s="1"/>
  <c r="K86" i="41"/>
  <c r="T86" i="41" s="1"/>
  <c r="K85" i="41"/>
  <c r="T85" i="41" s="1"/>
  <c r="K84" i="41"/>
  <c r="T84" i="41" s="1"/>
  <c r="K83" i="41"/>
  <c r="T83" i="41" s="1"/>
  <c r="K82" i="41"/>
  <c r="T82" i="41" s="1"/>
  <c r="K81" i="41"/>
  <c r="T81" i="41" s="1"/>
  <c r="K80" i="41"/>
  <c r="T80" i="41" s="1"/>
  <c r="K79" i="41"/>
  <c r="T79" i="41" s="1"/>
  <c r="K78" i="41"/>
  <c r="K77" i="41"/>
  <c r="T77" i="41" s="1"/>
  <c r="K76" i="41"/>
  <c r="T76" i="41" s="1"/>
  <c r="K75" i="41"/>
  <c r="T75" i="41" s="1"/>
  <c r="K74" i="41"/>
  <c r="K73" i="41"/>
  <c r="T73" i="41" s="1"/>
  <c r="K72" i="41"/>
  <c r="K71" i="41"/>
  <c r="T71" i="41" s="1"/>
  <c r="K70" i="41"/>
  <c r="T70" i="41" s="1"/>
  <c r="K69" i="41"/>
  <c r="T69" i="41" s="1"/>
  <c r="K68" i="41"/>
  <c r="T68" i="41" s="1"/>
  <c r="K67" i="41"/>
  <c r="T67" i="41" s="1"/>
  <c r="K66" i="41"/>
  <c r="K25" i="45"/>
  <c r="O25" i="45" s="1"/>
  <c r="H25" i="45"/>
  <c r="K24" i="45"/>
  <c r="O24" i="45" s="1"/>
  <c r="H24" i="45"/>
  <c r="O61" i="45"/>
  <c r="M61" i="45"/>
  <c r="L61" i="45"/>
  <c r="K61" i="45"/>
  <c r="O60" i="45"/>
  <c r="M60" i="45"/>
  <c r="L60" i="45"/>
  <c r="K60" i="45"/>
  <c r="O59" i="45"/>
  <c r="M59" i="45"/>
  <c r="L59" i="45"/>
  <c r="K59" i="45"/>
  <c r="O58" i="45"/>
  <c r="M58" i="45"/>
  <c r="L58" i="45"/>
  <c r="K58" i="45"/>
  <c r="O57" i="45"/>
  <c r="M57" i="45"/>
  <c r="L57" i="45"/>
  <c r="K57" i="45"/>
  <c r="O56" i="45"/>
  <c r="M56" i="45"/>
  <c r="L56" i="45"/>
  <c r="K56" i="45"/>
  <c r="O55" i="45"/>
  <c r="M55" i="45"/>
  <c r="L55" i="45"/>
  <c r="K55" i="45"/>
  <c r="O54" i="45"/>
  <c r="M54" i="45"/>
  <c r="L54" i="45"/>
  <c r="K54" i="45"/>
  <c r="O53" i="45"/>
  <c r="M53" i="45"/>
  <c r="L53" i="45"/>
  <c r="K53" i="45"/>
  <c r="O52" i="45"/>
  <c r="M52" i="45"/>
  <c r="L52" i="45"/>
  <c r="K52" i="45"/>
  <c r="O51" i="45"/>
  <c r="M51" i="45"/>
  <c r="L51" i="45"/>
  <c r="K51" i="45"/>
  <c r="O50" i="45"/>
  <c r="M50" i="45"/>
  <c r="L50" i="45"/>
  <c r="K50" i="45"/>
  <c r="O49" i="45"/>
  <c r="M49" i="45"/>
  <c r="L49" i="45"/>
  <c r="K49" i="45"/>
  <c r="O48" i="45"/>
  <c r="M48" i="45"/>
  <c r="L48" i="45"/>
  <c r="K48" i="45"/>
  <c r="O47" i="45"/>
  <c r="M47" i="45"/>
  <c r="L47" i="45"/>
  <c r="K47" i="45"/>
  <c r="O46" i="45"/>
  <c r="M46" i="45"/>
  <c r="L46" i="45"/>
  <c r="K46" i="45"/>
  <c r="O45" i="45"/>
  <c r="M45" i="45"/>
  <c r="L45" i="45"/>
  <c r="K45" i="45"/>
  <c r="O44" i="45"/>
  <c r="M44" i="45"/>
  <c r="L44" i="45"/>
  <c r="K44" i="45"/>
  <c r="O43" i="45"/>
  <c r="M43" i="45"/>
  <c r="L43" i="45"/>
  <c r="K43" i="45"/>
  <c r="O42" i="45"/>
  <c r="M42" i="45"/>
  <c r="L42" i="45"/>
  <c r="K42" i="45"/>
  <c r="O41" i="45"/>
  <c r="M41" i="45"/>
  <c r="L41" i="45"/>
  <c r="K41" i="45"/>
  <c r="O40" i="45"/>
  <c r="M40" i="45"/>
  <c r="L40" i="45"/>
  <c r="K40" i="45"/>
  <c r="O39" i="45"/>
  <c r="M39" i="45"/>
  <c r="L39" i="45"/>
  <c r="K39" i="45"/>
  <c r="O38" i="45"/>
  <c r="M38" i="45"/>
  <c r="L38" i="45"/>
  <c r="K38" i="45"/>
  <c r="O37" i="45"/>
  <c r="M37" i="45"/>
  <c r="L37" i="45"/>
  <c r="K37" i="45"/>
  <c r="O36" i="45"/>
  <c r="M36" i="45"/>
  <c r="L36" i="45"/>
  <c r="K36" i="45"/>
  <c r="O35" i="45"/>
  <c r="M35" i="45"/>
  <c r="L35" i="45"/>
  <c r="K35" i="45"/>
  <c r="O34" i="45"/>
  <c r="M34" i="45"/>
  <c r="L34" i="45"/>
  <c r="K34" i="45"/>
  <c r="O33" i="45"/>
  <c r="M33" i="45"/>
  <c r="L33" i="45"/>
  <c r="K33" i="45"/>
  <c r="K32" i="45"/>
  <c r="O32" i="45" s="1"/>
  <c r="H61" i="45"/>
  <c r="H60" i="45"/>
  <c r="H59" i="45"/>
  <c r="H58" i="45"/>
  <c r="H57" i="45"/>
  <c r="H56" i="45"/>
  <c r="H55" i="45"/>
  <c r="H54" i="45"/>
  <c r="H53" i="45"/>
  <c r="H52" i="45"/>
  <c r="H51" i="45"/>
  <c r="H50" i="45"/>
  <c r="H49" i="45"/>
  <c r="H48" i="45"/>
  <c r="H47" i="45"/>
  <c r="H46" i="45"/>
  <c r="H45" i="45"/>
  <c r="H44" i="45"/>
  <c r="H43" i="45"/>
  <c r="H42" i="45"/>
  <c r="H41" i="45"/>
  <c r="H40" i="45"/>
  <c r="H39" i="45"/>
  <c r="H38" i="45"/>
  <c r="H37" i="45"/>
  <c r="H36" i="45"/>
  <c r="H35" i="45"/>
  <c r="H34" i="45"/>
  <c r="H33" i="45"/>
  <c r="H32" i="45"/>
  <c r="L32" i="45" s="1"/>
  <c r="M32" i="54" s="1"/>
  <c r="P32" i="54" s="1"/>
  <c r="H31" i="45"/>
  <c r="M187" i="37"/>
  <c r="L186" i="37"/>
  <c r="M186" i="37" s="1"/>
  <c r="F187" i="37"/>
  <c r="Z60" i="54"/>
  <c r="Z59" i="54"/>
  <c r="Z58" i="54"/>
  <c r="Z57" i="54"/>
  <c r="Z56" i="54"/>
  <c r="Z55" i="54"/>
  <c r="Z54" i="54"/>
  <c r="Z53" i="54"/>
  <c r="Z52" i="54"/>
  <c r="Z51" i="54"/>
  <c r="Z50" i="54"/>
  <c r="Z49" i="54"/>
  <c r="Z48" i="54"/>
  <c r="Z47" i="54"/>
  <c r="Z46" i="54"/>
  <c r="Z45" i="54"/>
  <c r="Z44" i="54"/>
  <c r="Z43" i="54"/>
  <c r="Z42" i="54"/>
  <c r="Z41" i="54"/>
  <c r="Z40" i="54"/>
  <c r="Z39" i="54"/>
  <c r="Z38" i="54"/>
  <c r="Z37" i="54"/>
  <c r="Z36" i="54"/>
  <c r="Z35" i="54"/>
  <c r="Z34" i="54"/>
  <c r="Z33" i="54"/>
  <c r="Z32" i="54"/>
  <c r="Z31" i="54"/>
  <c r="Z97" i="48"/>
  <c r="Z96" i="48"/>
  <c r="Z95" i="48"/>
  <c r="Z94" i="48"/>
  <c r="Z93" i="48"/>
  <c r="Z92" i="48"/>
  <c r="Z91" i="48"/>
  <c r="Z90" i="48"/>
  <c r="Z89" i="48"/>
  <c r="Z88" i="48"/>
  <c r="Z87" i="48"/>
  <c r="Z86" i="48"/>
  <c r="Z85" i="48"/>
  <c r="Z84" i="48"/>
  <c r="Z83" i="48"/>
  <c r="Z82" i="48"/>
  <c r="Z81" i="48"/>
  <c r="Z80" i="48"/>
  <c r="Z79" i="48"/>
  <c r="Z78" i="48"/>
  <c r="Z77" i="48"/>
  <c r="Z76" i="48"/>
  <c r="Z75" i="48"/>
  <c r="Z74" i="48"/>
  <c r="Z73" i="48"/>
  <c r="Z72" i="48"/>
  <c r="Z71" i="48"/>
  <c r="Z70" i="48"/>
  <c r="Z69" i="48"/>
  <c r="Z68" i="48"/>
  <c r="Z67" i="48"/>
  <c r="Z61" i="48"/>
  <c r="Z60" i="48"/>
  <c r="Z59" i="48"/>
  <c r="Z58" i="48"/>
  <c r="Z57" i="48"/>
  <c r="Z56" i="48"/>
  <c r="Z55" i="48"/>
  <c r="Z54" i="48"/>
  <c r="Z53" i="48"/>
  <c r="Z52" i="48"/>
  <c r="Z51" i="48"/>
  <c r="Z50" i="48"/>
  <c r="Z49" i="48"/>
  <c r="Z48" i="48"/>
  <c r="Z47" i="48"/>
  <c r="Z46" i="48"/>
  <c r="Z45" i="48"/>
  <c r="Z44" i="48"/>
  <c r="Z43" i="48"/>
  <c r="Z42" i="48"/>
  <c r="Z41" i="48"/>
  <c r="Z40" i="48"/>
  <c r="Z39" i="48"/>
  <c r="Z38" i="48"/>
  <c r="Z37" i="48"/>
  <c r="Z36" i="48"/>
  <c r="Z35" i="48"/>
  <c r="Z34" i="48"/>
  <c r="Z33" i="48"/>
  <c r="AB60" i="53"/>
  <c r="AB59" i="53"/>
  <c r="AB58" i="53"/>
  <c r="AB57" i="53"/>
  <c r="AB56" i="53"/>
  <c r="AB55" i="53"/>
  <c r="AB54" i="53"/>
  <c r="AB53" i="53"/>
  <c r="AB52" i="53"/>
  <c r="AB51" i="53"/>
  <c r="AB50" i="53"/>
  <c r="AB49" i="53"/>
  <c r="I25" i="53"/>
  <c r="AB25" i="53" s="1"/>
  <c r="I24" i="53"/>
  <c r="AB24" i="53" s="1"/>
  <c r="AB60" i="46"/>
  <c r="AB59" i="46"/>
  <c r="AB58" i="46"/>
  <c r="V751" i="37"/>
  <c r="V750" i="37"/>
  <c r="V749" i="37"/>
  <c r="V748" i="37"/>
  <c r="V747" i="37"/>
  <c r="V746" i="37"/>
  <c r="V745" i="37"/>
  <c r="V744" i="37"/>
  <c r="V743" i="37"/>
  <c r="V742" i="37"/>
  <c r="V741" i="37"/>
  <c r="V740" i="37"/>
  <c r="V739" i="37"/>
  <c r="V738" i="37"/>
  <c r="V737" i="37"/>
  <c r="V736" i="37"/>
  <c r="V735" i="37"/>
  <c r="V734" i="37"/>
  <c r="V733" i="37"/>
  <c r="V732" i="37"/>
  <c r="V731" i="37"/>
  <c r="V730" i="37"/>
  <c r="V729" i="37"/>
  <c r="V728" i="37"/>
  <c r="V727" i="37"/>
  <c r="V726" i="37"/>
  <c r="V757" i="37"/>
  <c r="V756" i="37"/>
  <c r="V755" i="37"/>
  <c r="V754" i="37"/>
  <c r="V753" i="37"/>
  <c r="V752" i="37"/>
  <c r="V725" i="37"/>
  <c r="V724" i="37"/>
  <c r="V723" i="37"/>
  <c r="V722" i="37"/>
  <c r="V721" i="37"/>
  <c r="V720" i="37"/>
  <c r="V719" i="37"/>
  <c r="V718" i="37"/>
  <c r="V717" i="37"/>
  <c r="V716" i="37"/>
  <c r="V715" i="37"/>
  <c r="V714" i="37"/>
  <c r="V713" i="37"/>
  <c r="V712" i="37"/>
  <c r="V711" i="37"/>
  <c r="V710" i="37"/>
  <c r="V709" i="37"/>
  <c r="V708" i="37"/>
  <c r="V707" i="37"/>
  <c r="V706" i="37"/>
  <c r="V705" i="37"/>
  <c r="V704" i="37"/>
  <c r="V703" i="37"/>
  <c r="V702" i="37"/>
  <c r="V701" i="37"/>
  <c r="V700" i="37"/>
  <c r="V699" i="37"/>
  <c r="V698" i="37"/>
  <c r="V697" i="37"/>
  <c r="V696" i="37"/>
  <c r="V695" i="37"/>
  <c r="V694" i="37"/>
  <c r="V693" i="37"/>
  <c r="V692" i="37"/>
  <c r="V691" i="37"/>
  <c r="V690" i="37"/>
  <c r="V689" i="37"/>
  <c r="V688" i="37"/>
  <c r="V687" i="37"/>
  <c r="V681" i="37"/>
  <c r="V680" i="37"/>
  <c r="V679" i="37"/>
  <c r="V678" i="37"/>
  <c r="V677" i="37"/>
  <c r="V672" i="37"/>
  <c r="V671" i="37"/>
  <c r="V670" i="37"/>
  <c r="V669" i="37"/>
  <c r="V668" i="37"/>
  <c r="V667" i="37"/>
  <c r="V666" i="37"/>
  <c r="V665" i="37"/>
  <c r="V664" i="37"/>
  <c r="V663" i="37"/>
  <c r="V662" i="37"/>
  <c r="V661" i="37"/>
  <c r="V660" i="37"/>
  <c r="V659" i="37"/>
  <c r="V658" i="37"/>
  <c r="V657" i="37"/>
  <c r="V656" i="37"/>
  <c r="V655" i="37"/>
  <c r="V654" i="37"/>
  <c r="V653" i="37"/>
  <c r="V652" i="37"/>
  <c r="V651" i="37"/>
  <c r="V650" i="37"/>
  <c r="V649" i="37"/>
  <c r="V648" i="37"/>
  <c r="V647" i="37"/>
  <c r="V646" i="37"/>
  <c r="V645" i="37"/>
  <c r="V644" i="37"/>
  <c r="V643" i="37"/>
  <c r="V642" i="37"/>
  <c r="V641" i="37"/>
  <c r="V640" i="37"/>
  <c r="V639" i="37"/>
  <c r="V638" i="37"/>
  <c r="V637" i="37"/>
  <c r="V636" i="37"/>
  <c r="V635" i="37"/>
  <c r="V634" i="37"/>
  <c r="V633" i="37"/>
  <c r="V632" i="37"/>
  <c r="V631" i="37"/>
  <c r="V630" i="37"/>
  <c r="V629" i="37"/>
  <c r="V628" i="37"/>
  <c r="V627" i="37"/>
  <c r="V626" i="37"/>
  <c r="V625" i="37"/>
  <c r="V624" i="37"/>
  <c r="V623" i="37"/>
  <c r="V622" i="37"/>
  <c r="V621" i="37"/>
  <c r="V482" i="37"/>
  <c r="V481" i="37"/>
  <c r="V468" i="37"/>
  <c r="V467" i="37"/>
  <c r="V466" i="37"/>
  <c r="V465" i="37"/>
  <c r="V464" i="37"/>
  <c r="V442" i="37"/>
  <c r="V441" i="37"/>
  <c r="V437" i="37"/>
  <c r="Z59" i="41"/>
  <c r="Z60" i="33"/>
  <c r="U60" i="43"/>
  <c r="U59" i="43"/>
  <c r="U58" i="43"/>
  <c r="U57" i="43"/>
  <c r="U56" i="43"/>
  <c r="U55" i="43"/>
  <c r="U54" i="43"/>
  <c r="U53" i="43"/>
  <c r="U52" i="43"/>
  <c r="U51" i="43"/>
  <c r="U50" i="43"/>
  <c r="U49" i="43"/>
  <c r="U48" i="43"/>
  <c r="U47" i="43"/>
  <c r="U46" i="43"/>
  <c r="U45" i="43"/>
  <c r="U44" i="43"/>
  <c r="U43" i="43"/>
  <c r="U42" i="43"/>
  <c r="U41" i="43"/>
  <c r="U40" i="43"/>
  <c r="U39" i="43"/>
  <c r="U38" i="43"/>
  <c r="U37" i="43"/>
  <c r="U36" i="43"/>
  <c r="W60" i="43"/>
  <c r="W59" i="43"/>
  <c r="W58" i="43"/>
  <c r="W57" i="43"/>
  <c r="W56" i="43"/>
  <c r="W55" i="43"/>
  <c r="W54" i="43"/>
  <c r="W53" i="43"/>
  <c r="W52" i="43"/>
  <c r="W51" i="43"/>
  <c r="W50" i="43"/>
  <c r="W49" i="43"/>
  <c r="W48" i="43"/>
  <c r="W47" i="43"/>
  <c r="W46" i="43"/>
  <c r="W45" i="43"/>
  <c r="W44" i="43"/>
  <c r="W43" i="43"/>
  <c r="W42" i="43"/>
  <c r="W41" i="43"/>
  <c r="W40" i="43"/>
  <c r="W39" i="43"/>
  <c r="W37" i="43"/>
  <c r="W36" i="43"/>
  <c r="V60" i="43"/>
  <c r="V59" i="43"/>
  <c r="V58" i="43"/>
  <c r="V57" i="43"/>
  <c r="V56" i="43"/>
  <c r="V55" i="43"/>
  <c r="V54" i="43"/>
  <c r="V53" i="43"/>
  <c r="V52" i="43"/>
  <c r="V51" i="43"/>
  <c r="V50" i="43"/>
  <c r="V49" i="43"/>
  <c r="V48" i="43"/>
  <c r="V47" i="43"/>
  <c r="V46" i="43"/>
  <c r="V45" i="43"/>
  <c r="V44" i="43"/>
  <c r="V43" i="43"/>
  <c r="V42" i="43"/>
  <c r="V41" i="43"/>
  <c r="V40" i="43"/>
  <c r="V39" i="43"/>
  <c r="V37" i="43"/>
  <c r="V36" i="43"/>
  <c r="U51" i="48" a="1"/>
  <c r="U51" i="48" s="1"/>
  <c r="U43" i="48" a="1"/>
  <c r="U43" i="48" s="1"/>
  <c r="W60" i="53" a="1"/>
  <c r="W60" i="53" s="1"/>
  <c r="W59" i="53" a="1"/>
  <c r="W59" i="53" s="1"/>
  <c r="W58" i="53" a="1"/>
  <c r="W58" i="53" s="1"/>
  <c r="W57" i="53" a="1"/>
  <c r="W57" i="53" s="1"/>
  <c r="W56" i="53" a="1"/>
  <c r="W56" i="53" s="1"/>
  <c r="W55" i="53" a="1"/>
  <c r="W55" i="53" s="1"/>
  <c r="W54" i="53" a="1"/>
  <c r="W54" i="53" s="1"/>
  <c r="W53" i="53" a="1"/>
  <c r="W53" i="53" s="1"/>
  <c r="W52" i="53" a="1"/>
  <c r="W52" i="53" s="1"/>
  <c r="W51" i="53" a="1"/>
  <c r="W51" i="53" s="1"/>
  <c r="W50" i="53" a="1"/>
  <c r="W50" i="53" s="1"/>
  <c r="W49" i="53" a="1"/>
  <c r="W49" i="53" s="1"/>
  <c r="W38" i="53" a="1"/>
  <c r="W38" i="53" s="1"/>
  <c r="W37" i="53" a="1"/>
  <c r="W37" i="53" s="1"/>
  <c r="W36" i="53" a="1"/>
  <c r="W36" i="53" s="1"/>
  <c r="W35" i="53" a="1"/>
  <c r="W35" i="53" s="1"/>
  <c r="W34" i="53" a="1"/>
  <c r="W34" i="53" s="1"/>
  <c r="AA60" i="53"/>
  <c r="AA59" i="53"/>
  <c r="AA58" i="53"/>
  <c r="AA57" i="53"/>
  <c r="AA56" i="53"/>
  <c r="AA55" i="53"/>
  <c r="AA54" i="53"/>
  <c r="AA53" i="53"/>
  <c r="AA52" i="53"/>
  <c r="AA51" i="53"/>
  <c r="AA50" i="53"/>
  <c r="AA49" i="53"/>
  <c r="X25" i="53"/>
  <c r="O25" i="53"/>
  <c r="O59" i="53"/>
  <c r="W24" i="53" a="1"/>
  <c r="W24" i="53" s="1"/>
  <c r="W60" i="46" a="1"/>
  <c r="W60" i="46" s="1"/>
  <c r="W59" i="46" a="1"/>
  <c r="W59" i="46" s="1"/>
  <c r="W58" i="46" a="1"/>
  <c r="W58" i="46" s="1"/>
  <c r="W55" i="46" a="1"/>
  <c r="W55" i="46" s="1"/>
  <c r="W54" i="46" a="1"/>
  <c r="W54" i="46" s="1"/>
  <c r="W50" i="46" a="1"/>
  <c r="W50" i="46" s="1"/>
  <c r="W49" i="46" a="1"/>
  <c r="W49" i="46" s="1"/>
  <c r="W45" i="46" a="1"/>
  <c r="W45" i="46" s="1"/>
  <c r="W44" i="46" a="1"/>
  <c r="W44" i="46" s="1"/>
  <c r="W38" i="46" a="1"/>
  <c r="W38" i="46" s="1"/>
  <c r="W37" i="46" a="1"/>
  <c r="W37" i="46" s="1"/>
  <c r="U757" i="37"/>
  <c r="U756" i="37"/>
  <c r="U755" i="37"/>
  <c r="U754" i="37"/>
  <c r="U753" i="37"/>
  <c r="U752" i="37"/>
  <c r="U751" i="37"/>
  <c r="U750" i="37"/>
  <c r="U749" i="37"/>
  <c r="U748" i="37"/>
  <c r="U747" i="37"/>
  <c r="U746" i="37"/>
  <c r="U745" i="37"/>
  <c r="U744" i="37"/>
  <c r="U743" i="37"/>
  <c r="U742" i="37"/>
  <c r="U741" i="37"/>
  <c r="U740" i="37"/>
  <c r="U739" i="37"/>
  <c r="U738" i="37"/>
  <c r="U737" i="37"/>
  <c r="U736" i="37"/>
  <c r="U735" i="37"/>
  <c r="U734" i="37"/>
  <c r="U733" i="37"/>
  <c r="U732" i="37"/>
  <c r="U731" i="37"/>
  <c r="U730" i="37"/>
  <c r="U729" i="37"/>
  <c r="U728" i="37"/>
  <c r="U727" i="37"/>
  <c r="U726" i="37"/>
  <c r="U725" i="37"/>
  <c r="U724" i="37"/>
  <c r="U723" i="37"/>
  <c r="U722" i="37"/>
  <c r="U721" i="37"/>
  <c r="U720" i="37"/>
  <c r="U719" i="37"/>
  <c r="U718" i="37"/>
  <c r="U717" i="37"/>
  <c r="U716" i="37"/>
  <c r="U715" i="37"/>
  <c r="U714" i="37"/>
  <c r="U713" i="37"/>
  <c r="U712" i="37"/>
  <c r="U711" i="37"/>
  <c r="U710" i="37"/>
  <c r="U709" i="37"/>
  <c r="U708" i="37"/>
  <c r="U707" i="37"/>
  <c r="U706" i="37"/>
  <c r="U705" i="37"/>
  <c r="U704" i="37"/>
  <c r="U703" i="37"/>
  <c r="U702" i="37"/>
  <c r="U701" i="37"/>
  <c r="U700" i="37"/>
  <c r="U699" i="37"/>
  <c r="U698" i="37"/>
  <c r="U697" i="37"/>
  <c r="U696" i="37"/>
  <c r="U695" i="37"/>
  <c r="U694" i="37"/>
  <c r="U693" i="37"/>
  <c r="U692" i="37"/>
  <c r="U691" i="37"/>
  <c r="U690" i="37"/>
  <c r="U689" i="37"/>
  <c r="U688" i="37"/>
  <c r="U687" i="37"/>
  <c r="U681" i="37"/>
  <c r="U680" i="37"/>
  <c r="U679" i="37"/>
  <c r="U678" i="37"/>
  <c r="U677" i="37"/>
  <c r="U672" i="37"/>
  <c r="U671" i="37"/>
  <c r="U670" i="37"/>
  <c r="U669" i="37"/>
  <c r="U668" i="37"/>
  <c r="U667" i="37"/>
  <c r="U666" i="37"/>
  <c r="U665" i="37"/>
  <c r="U664" i="37"/>
  <c r="U663" i="37"/>
  <c r="U662" i="37"/>
  <c r="U661" i="37"/>
  <c r="U660" i="37"/>
  <c r="U659" i="37"/>
  <c r="U658" i="37"/>
  <c r="U657" i="37"/>
  <c r="U656" i="37"/>
  <c r="U655" i="37"/>
  <c r="U654" i="37"/>
  <c r="U653" i="37"/>
  <c r="U652" i="37"/>
  <c r="U651" i="37"/>
  <c r="U650" i="37"/>
  <c r="U649" i="37"/>
  <c r="U648" i="37"/>
  <c r="U647" i="37"/>
  <c r="U646" i="37"/>
  <c r="U645" i="37"/>
  <c r="U644" i="37"/>
  <c r="U643" i="37"/>
  <c r="U642" i="37"/>
  <c r="U641" i="37"/>
  <c r="U640" i="37"/>
  <c r="U639" i="37"/>
  <c r="U638" i="37"/>
  <c r="U637" i="37"/>
  <c r="U636" i="37"/>
  <c r="U635" i="37"/>
  <c r="U634" i="37"/>
  <c r="U633" i="37"/>
  <c r="U632" i="37"/>
  <c r="U631" i="37"/>
  <c r="U630" i="37"/>
  <c r="U629" i="37"/>
  <c r="U628" i="37"/>
  <c r="U627" i="37"/>
  <c r="U626" i="37"/>
  <c r="U625" i="37"/>
  <c r="U624" i="37"/>
  <c r="U623" i="37"/>
  <c r="U622" i="37"/>
  <c r="U621" i="37"/>
  <c r="X25" i="46"/>
  <c r="M315" i="37"/>
  <c r="F315" i="37"/>
  <c r="O25" i="46"/>
  <c r="X95" i="43"/>
  <c r="W95" i="43"/>
  <c r="V95" i="43"/>
  <c r="X94" i="43"/>
  <c r="W94" i="43"/>
  <c r="V94" i="43"/>
  <c r="X93" i="43"/>
  <c r="W93" i="43"/>
  <c r="V93" i="43"/>
  <c r="X92" i="43"/>
  <c r="W92" i="43"/>
  <c r="V92" i="43"/>
  <c r="X91" i="43"/>
  <c r="W91" i="43"/>
  <c r="V91" i="43"/>
  <c r="X90" i="43"/>
  <c r="W90" i="43"/>
  <c r="V90" i="43"/>
  <c r="X89" i="43"/>
  <c r="W89" i="43"/>
  <c r="V89" i="43"/>
  <c r="X88" i="43"/>
  <c r="W88" i="43"/>
  <c r="V88" i="43"/>
  <c r="X87" i="43"/>
  <c r="W87" i="43"/>
  <c r="V87" i="43"/>
  <c r="X86" i="43"/>
  <c r="W86" i="43"/>
  <c r="V86" i="43"/>
  <c r="X85" i="43"/>
  <c r="W85" i="43"/>
  <c r="V85" i="43"/>
  <c r="X84" i="43"/>
  <c r="W84" i="43"/>
  <c r="V84" i="43"/>
  <c r="X83" i="43"/>
  <c r="W83" i="43"/>
  <c r="V83" i="43"/>
  <c r="X82" i="43"/>
  <c r="W82" i="43"/>
  <c r="V82" i="43"/>
  <c r="X81" i="43"/>
  <c r="W81" i="43"/>
  <c r="V81" i="43"/>
  <c r="X80" i="43"/>
  <c r="W80" i="43"/>
  <c r="V80" i="43"/>
  <c r="X79" i="43"/>
  <c r="W79" i="43"/>
  <c r="V79" i="43"/>
  <c r="X78" i="43"/>
  <c r="W78" i="43"/>
  <c r="V78" i="43"/>
  <c r="X77" i="43"/>
  <c r="W77" i="43"/>
  <c r="V77" i="43"/>
  <c r="X76" i="43"/>
  <c r="W76" i="43"/>
  <c r="V76" i="43"/>
  <c r="X75" i="43"/>
  <c r="W75" i="43"/>
  <c r="V75" i="43"/>
  <c r="X74" i="43"/>
  <c r="W74" i="43"/>
  <c r="V74" i="43"/>
  <c r="X73" i="43"/>
  <c r="W73" i="43"/>
  <c r="V73" i="43"/>
  <c r="X72" i="43"/>
  <c r="W72" i="43"/>
  <c r="V72" i="43"/>
  <c r="X71" i="43"/>
  <c r="W71" i="43"/>
  <c r="V71" i="43"/>
  <c r="X70" i="43"/>
  <c r="W70" i="43"/>
  <c r="V70" i="43"/>
  <c r="X69" i="43"/>
  <c r="W69" i="43"/>
  <c r="V69" i="43"/>
  <c r="X68" i="43"/>
  <c r="W68" i="43"/>
  <c r="V68" i="43"/>
  <c r="X67" i="43"/>
  <c r="W67" i="43"/>
  <c r="V67" i="43"/>
  <c r="X66" i="43"/>
  <c r="W66" i="43"/>
  <c r="V66" i="43"/>
  <c r="X60" i="43"/>
  <c r="X59" i="43"/>
  <c r="X58" i="43"/>
  <c r="X57" i="43"/>
  <c r="X56" i="43"/>
  <c r="X55" i="43"/>
  <c r="X54" i="43"/>
  <c r="X53" i="43"/>
  <c r="X52" i="43"/>
  <c r="X51" i="43"/>
  <c r="X50" i="43"/>
  <c r="X49" i="43"/>
  <c r="X48" i="43"/>
  <c r="X47" i="43"/>
  <c r="X46" i="43"/>
  <c r="X45" i="43"/>
  <c r="X44" i="43"/>
  <c r="X43" i="43"/>
  <c r="X42" i="43"/>
  <c r="X41" i="43"/>
  <c r="X40" i="43"/>
  <c r="X39" i="43"/>
  <c r="X37" i="43"/>
  <c r="X36" i="43"/>
  <c r="V95" i="41"/>
  <c r="V94" i="41"/>
  <c r="V93" i="41"/>
  <c r="V92" i="41"/>
  <c r="V91" i="41"/>
  <c r="V90" i="41"/>
  <c r="V89" i="41"/>
  <c r="V88" i="41"/>
  <c r="V87" i="41"/>
  <c r="V86" i="41"/>
  <c r="V85" i="41"/>
  <c r="V84" i="41"/>
  <c r="V83" i="41"/>
  <c r="V82" i="41"/>
  <c r="V81" i="41"/>
  <c r="V80" i="41"/>
  <c r="V79" i="41"/>
  <c r="V78" i="41"/>
  <c r="V77" i="41"/>
  <c r="V76" i="41"/>
  <c r="V75" i="41"/>
  <c r="V74" i="41"/>
  <c r="V73" i="41"/>
  <c r="V72" i="41"/>
  <c r="V71" i="41"/>
  <c r="V70" i="41"/>
  <c r="V69" i="41"/>
  <c r="V68" i="41"/>
  <c r="V67" i="41"/>
  <c r="V66" i="41"/>
  <c r="M95" i="41"/>
  <c r="M94" i="41"/>
  <c r="M93" i="41"/>
  <c r="M92" i="41"/>
  <c r="M91" i="41"/>
  <c r="M90" i="41"/>
  <c r="M89" i="41"/>
  <c r="M88" i="41"/>
  <c r="M87" i="41"/>
  <c r="M86" i="41"/>
  <c r="M85" i="41"/>
  <c r="M84" i="41"/>
  <c r="M83" i="41"/>
  <c r="M82" i="41"/>
  <c r="M81" i="41"/>
  <c r="M80" i="41"/>
  <c r="M79" i="41"/>
  <c r="M78" i="41"/>
  <c r="M77" i="41"/>
  <c r="M76" i="41"/>
  <c r="M75" i="41"/>
  <c r="M74" i="41"/>
  <c r="M73" i="41"/>
  <c r="M72" i="41"/>
  <c r="M71" i="41"/>
  <c r="M70" i="41"/>
  <c r="M69" i="41"/>
  <c r="M68" i="41"/>
  <c r="M67" i="41"/>
  <c r="M66" i="41"/>
  <c r="H60" i="33"/>
  <c r="H59" i="33"/>
  <c r="Z59" i="33" s="1"/>
  <c r="H58" i="33"/>
  <c r="Z58" i="33" s="1"/>
  <c r="H57" i="33"/>
  <c r="Z57" i="33" s="1"/>
  <c r="H56" i="33"/>
  <c r="Z56" i="33" s="1"/>
  <c r="H55" i="33"/>
  <c r="L55" i="33" s="1"/>
  <c r="H54" i="33"/>
  <c r="Z54" i="33" s="1"/>
  <c r="H53" i="33"/>
  <c r="Z53" i="33" s="1"/>
  <c r="H52" i="33"/>
  <c r="Z52" i="33" s="1"/>
  <c r="H51" i="33"/>
  <c r="Z51" i="33" s="1"/>
  <c r="H50" i="33"/>
  <c r="Z50" i="33" s="1"/>
  <c r="H49" i="33"/>
  <c r="Z49" i="33" s="1"/>
  <c r="H48" i="33"/>
  <c r="Z48" i="33" s="1"/>
  <c r="H47" i="33"/>
  <c r="L47" i="33" s="1"/>
  <c r="H46" i="33"/>
  <c r="Z46" i="33" s="1"/>
  <c r="H45" i="33"/>
  <c r="Z45" i="33" s="1"/>
  <c r="H44" i="33"/>
  <c r="L44" i="33" s="1"/>
  <c r="H43" i="33"/>
  <c r="Z43" i="33" s="1"/>
  <c r="Z38" i="33"/>
  <c r="B104" i="39"/>
  <c r="B103" i="39"/>
  <c r="B102" i="39"/>
  <c r="B101" i="39"/>
  <c r="B100" i="39"/>
  <c r="B99" i="39"/>
  <c r="B98" i="39"/>
  <c r="B97" i="39"/>
  <c r="B96" i="39"/>
  <c r="B95" i="39"/>
  <c r="B94" i="39"/>
  <c r="B93" i="39"/>
  <c r="B92" i="39"/>
  <c r="B91" i="39"/>
  <c r="B90" i="39"/>
  <c r="B89" i="39"/>
  <c r="B88" i="39"/>
  <c r="B84" i="39"/>
  <c r="B83" i="39"/>
  <c r="B82" i="39"/>
  <c r="B81" i="39"/>
  <c r="B80" i="39"/>
  <c r="B79" i="39"/>
  <c r="B78" i="39"/>
  <c r="B77" i="39"/>
  <c r="B76" i="39"/>
  <c r="B75" i="39"/>
  <c r="B74" i="39"/>
  <c r="B73" i="39"/>
  <c r="B72" i="39"/>
  <c r="B71" i="39"/>
  <c r="B70" i="39"/>
  <c r="B69" i="39"/>
  <c r="B68" i="39"/>
  <c r="E104" i="39"/>
  <c r="E103" i="39"/>
  <c r="E102" i="39"/>
  <c r="E101" i="39"/>
  <c r="E100" i="39"/>
  <c r="E99" i="39"/>
  <c r="E98" i="39"/>
  <c r="E97" i="39"/>
  <c r="E96" i="39"/>
  <c r="E95" i="39"/>
  <c r="E94" i="39"/>
  <c r="E93" i="39"/>
  <c r="E92" i="39"/>
  <c r="E91" i="39"/>
  <c r="E90" i="39"/>
  <c r="E89" i="39"/>
  <c r="E88" i="39"/>
  <c r="E84" i="39"/>
  <c r="E83" i="39"/>
  <c r="E82" i="39"/>
  <c r="E81" i="39"/>
  <c r="E80" i="39"/>
  <c r="E79" i="39"/>
  <c r="E78" i="39"/>
  <c r="E77" i="39"/>
  <c r="E76" i="39"/>
  <c r="E75" i="39"/>
  <c r="E74" i="39"/>
  <c r="E73" i="39"/>
  <c r="E72" i="39"/>
  <c r="E71" i="39"/>
  <c r="E70" i="39"/>
  <c r="E69" i="39"/>
  <c r="E68" i="39"/>
  <c r="M762" i="37"/>
  <c r="M763" i="37"/>
  <c r="M764" i="37"/>
  <c r="M765" i="37"/>
  <c r="M766" i="37"/>
  <c r="M767" i="37"/>
  <c r="M768" i="37"/>
  <c r="M769" i="37"/>
  <c r="W42" i="46" a="1"/>
  <c r="W42" i="46" s="1"/>
  <c r="W45" i="53" a="1"/>
  <c r="W45" i="53" s="1"/>
  <c r="W43" i="46" a="1"/>
  <c r="W43" i="46" s="1"/>
  <c r="W51" i="46" a="1"/>
  <c r="W51" i="46" s="1"/>
  <c r="W46" i="53" a="1"/>
  <c r="W46" i="53" s="1"/>
  <c r="W36" i="46" a="1"/>
  <c r="W36" i="46" s="1"/>
  <c r="W52" i="46" a="1"/>
  <c r="W52" i="46" s="1"/>
  <c r="W47" i="53" a="1"/>
  <c r="W47" i="53" s="1"/>
  <c r="W53" i="46" a="1"/>
  <c r="W53" i="46" s="1"/>
  <c r="W48" i="53" a="1"/>
  <c r="W48" i="53" s="1"/>
  <c r="W46" i="46" a="1"/>
  <c r="W46" i="46" s="1"/>
  <c r="W41" i="53" a="1"/>
  <c r="W41" i="53" s="1"/>
  <c r="W39" i="46" a="1"/>
  <c r="W39" i="46" s="1"/>
  <c r="W47" i="46" a="1"/>
  <c r="W47" i="46" s="1"/>
  <c r="W42" i="53" a="1"/>
  <c r="W42" i="53" s="1"/>
  <c r="W40" i="46" a="1"/>
  <c r="W40" i="46" s="1"/>
  <c r="W48" i="46" a="1"/>
  <c r="W48" i="46" s="1"/>
  <c r="W56" i="46" a="1"/>
  <c r="W56" i="46" s="1"/>
  <c r="W43" i="53" a="1"/>
  <c r="W43" i="53" s="1"/>
  <c r="W41" i="46" a="1"/>
  <c r="W41" i="46" s="1"/>
  <c r="W57" i="46" a="1"/>
  <c r="W57" i="46" s="1"/>
  <c r="W44" i="53" a="1"/>
  <c r="W44" i="53" s="1"/>
  <c r="Y97" i="48"/>
  <c r="X97" i="48"/>
  <c r="W97" i="48"/>
  <c r="V97" i="48"/>
  <c r="U97" i="48"/>
  <c r="P97" i="48"/>
  <c r="Y96" i="48"/>
  <c r="X96" i="48"/>
  <c r="W96" i="48"/>
  <c r="V96" i="48"/>
  <c r="U96" i="48"/>
  <c r="P96" i="48"/>
  <c r="T96" i="48"/>
  <c r="Y95" i="48"/>
  <c r="X95" i="48"/>
  <c r="W95" i="48"/>
  <c r="V95" i="48"/>
  <c r="U95" i="48"/>
  <c r="P95" i="48"/>
  <c r="T95" i="48"/>
  <c r="Y94" i="48"/>
  <c r="X94" i="48"/>
  <c r="W94" i="48"/>
  <c r="V94" i="48"/>
  <c r="U94" i="48"/>
  <c r="P94" i="48"/>
  <c r="T94" i="48"/>
  <c r="Y93" i="48"/>
  <c r="X93" i="48"/>
  <c r="W93" i="48"/>
  <c r="V93" i="48"/>
  <c r="U93" i="48"/>
  <c r="P93" i="48"/>
  <c r="T93" i="48"/>
  <c r="Y92" i="48"/>
  <c r="X92" i="48"/>
  <c r="W92" i="48"/>
  <c r="V92" i="48"/>
  <c r="U92" i="48"/>
  <c r="P92" i="48"/>
  <c r="T92" i="48"/>
  <c r="Y91" i="48"/>
  <c r="X91" i="48"/>
  <c r="W91" i="48"/>
  <c r="V91" i="48"/>
  <c r="U91" i="48"/>
  <c r="P91" i="48"/>
  <c r="Y90" i="48"/>
  <c r="X90" i="48"/>
  <c r="W90" i="48"/>
  <c r="V90" i="48"/>
  <c r="U90" i="48"/>
  <c r="P90" i="48"/>
  <c r="Y89" i="48"/>
  <c r="X89" i="48"/>
  <c r="W89" i="48"/>
  <c r="V89" i="48"/>
  <c r="U89" i="48"/>
  <c r="P89" i="48"/>
  <c r="Y88" i="48"/>
  <c r="X88" i="48"/>
  <c r="W88" i="48"/>
  <c r="V88" i="48"/>
  <c r="U88" i="48"/>
  <c r="P88" i="48"/>
  <c r="T88" i="48"/>
  <c r="Y87" i="48"/>
  <c r="X87" i="48"/>
  <c r="W87" i="48"/>
  <c r="V87" i="48"/>
  <c r="U87" i="48"/>
  <c r="P87" i="48"/>
  <c r="T87" i="48"/>
  <c r="Y86" i="48"/>
  <c r="X86" i="48"/>
  <c r="W86" i="48"/>
  <c r="V86" i="48"/>
  <c r="U86" i="48"/>
  <c r="P86" i="48"/>
  <c r="T86" i="48"/>
  <c r="Y85" i="48"/>
  <c r="X85" i="48"/>
  <c r="W85" i="48"/>
  <c r="V85" i="48"/>
  <c r="U85" i="48"/>
  <c r="P85" i="48"/>
  <c r="T85" i="48"/>
  <c r="Y84" i="48"/>
  <c r="X84" i="48"/>
  <c r="W84" i="48"/>
  <c r="V84" i="48"/>
  <c r="U84" i="48"/>
  <c r="P84" i="48"/>
  <c r="T84" i="48"/>
  <c r="Y83" i="48"/>
  <c r="X83" i="48"/>
  <c r="W83" i="48"/>
  <c r="V83" i="48"/>
  <c r="U83" i="48"/>
  <c r="P83" i="48"/>
  <c r="Y82" i="48"/>
  <c r="X82" i="48"/>
  <c r="W82" i="48"/>
  <c r="V82" i="48"/>
  <c r="U82" i="48"/>
  <c r="P82" i="48"/>
  <c r="Y81" i="48"/>
  <c r="X81" i="48"/>
  <c r="W81" i="48"/>
  <c r="V81" i="48"/>
  <c r="U81" i="48"/>
  <c r="P81" i="48"/>
  <c r="Y80" i="48"/>
  <c r="X80" i="48"/>
  <c r="W80" i="48"/>
  <c r="V80" i="48"/>
  <c r="U80" i="48"/>
  <c r="P80" i="48"/>
  <c r="T80" i="48"/>
  <c r="Y79" i="48"/>
  <c r="X79" i="48"/>
  <c r="W79" i="48"/>
  <c r="V79" i="48"/>
  <c r="U79" i="48"/>
  <c r="P79" i="48"/>
  <c r="T79" i="48"/>
  <c r="Y78" i="48"/>
  <c r="X78" i="48"/>
  <c r="W78" i="48"/>
  <c r="V78" i="48"/>
  <c r="U78" i="48"/>
  <c r="P78" i="48"/>
  <c r="T78" i="48"/>
  <c r="Y77" i="48"/>
  <c r="X77" i="48"/>
  <c r="W77" i="48"/>
  <c r="V77" i="48"/>
  <c r="U77" i="48"/>
  <c r="P77" i="48"/>
  <c r="T77" i="48"/>
  <c r="Y76" i="48"/>
  <c r="X76" i="48"/>
  <c r="W76" i="48"/>
  <c r="V76" i="48"/>
  <c r="U76" i="48"/>
  <c r="P76" i="48"/>
  <c r="T76" i="48"/>
  <c r="Y75" i="48"/>
  <c r="X75" i="48"/>
  <c r="W75" i="48"/>
  <c r="V75" i="48"/>
  <c r="U75" i="48"/>
  <c r="P75" i="48"/>
  <c r="Y74" i="48"/>
  <c r="X74" i="48"/>
  <c r="W74" i="48"/>
  <c r="V74" i="48"/>
  <c r="U74" i="48"/>
  <c r="P74" i="48"/>
  <c r="Y73" i="48"/>
  <c r="X73" i="48"/>
  <c r="W73" i="48"/>
  <c r="V73" i="48"/>
  <c r="U73" i="48"/>
  <c r="P73" i="48"/>
  <c r="Y72" i="48"/>
  <c r="X72" i="48"/>
  <c r="W72" i="48"/>
  <c r="V72" i="48"/>
  <c r="U72" i="48"/>
  <c r="P72" i="48"/>
  <c r="T72" i="48"/>
  <c r="Y71" i="48"/>
  <c r="X71" i="48"/>
  <c r="W71" i="48"/>
  <c r="V71" i="48"/>
  <c r="U71" i="48"/>
  <c r="P71" i="48"/>
  <c r="T71" i="48"/>
  <c r="Y70" i="48"/>
  <c r="X70" i="48"/>
  <c r="W70" i="48"/>
  <c r="V70" i="48"/>
  <c r="U70" i="48"/>
  <c r="P70" i="48"/>
  <c r="T70" i="48"/>
  <c r="Y69" i="48"/>
  <c r="X69" i="48"/>
  <c r="W69" i="48"/>
  <c r="V69" i="48"/>
  <c r="U69" i="48"/>
  <c r="P69" i="48"/>
  <c r="T69" i="48"/>
  <c r="Y68" i="48"/>
  <c r="V68" i="48"/>
  <c r="P68" i="48"/>
  <c r="Y67" i="48"/>
  <c r="V67" i="48"/>
  <c r="U67" i="48"/>
  <c r="P67" i="48"/>
  <c r="Z95" i="43"/>
  <c r="Y95" i="43"/>
  <c r="U95" i="43"/>
  <c r="P95" i="43"/>
  <c r="Z94" i="43"/>
  <c r="Y94" i="43"/>
  <c r="U94" i="43"/>
  <c r="P94" i="43"/>
  <c r="Z93" i="43"/>
  <c r="Y93" i="43"/>
  <c r="U93" i="43"/>
  <c r="P93" i="43"/>
  <c r="T93" i="43"/>
  <c r="Z92" i="43"/>
  <c r="Y92" i="43"/>
  <c r="U92" i="43"/>
  <c r="T92" i="43"/>
  <c r="P92" i="43"/>
  <c r="Z91" i="43"/>
  <c r="Y91" i="43"/>
  <c r="U91" i="43"/>
  <c r="P91" i="43"/>
  <c r="T91" i="43"/>
  <c r="Z90" i="43"/>
  <c r="Y90" i="43"/>
  <c r="U90" i="43"/>
  <c r="P90" i="43"/>
  <c r="T90" i="43"/>
  <c r="Z89" i="43"/>
  <c r="Y89" i="43"/>
  <c r="U89" i="43"/>
  <c r="P89" i="43"/>
  <c r="Z88" i="43"/>
  <c r="Y88" i="43"/>
  <c r="U88" i="43"/>
  <c r="T88" i="43"/>
  <c r="P88" i="43"/>
  <c r="Z87" i="43"/>
  <c r="Y87" i="43"/>
  <c r="U87" i="43"/>
  <c r="P87" i="43"/>
  <c r="Z86" i="43"/>
  <c r="Y86" i="43"/>
  <c r="U86" i="43"/>
  <c r="P86" i="43"/>
  <c r="Z85" i="43"/>
  <c r="Y85" i="43"/>
  <c r="U85" i="43"/>
  <c r="P85" i="43"/>
  <c r="T85" i="43"/>
  <c r="Z84" i="43"/>
  <c r="Y84" i="43"/>
  <c r="U84" i="43"/>
  <c r="P84" i="43"/>
  <c r="T84" i="43"/>
  <c r="Z83" i="43"/>
  <c r="Y83" i="43"/>
  <c r="U83" i="43"/>
  <c r="P83" i="43"/>
  <c r="T83" i="43"/>
  <c r="Z82" i="43"/>
  <c r="Y82" i="43"/>
  <c r="U82" i="43"/>
  <c r="P82" i="43"/>
  <c r="T82" i="43"/>
  <c r="Z81" i="43"/>
  <c r="Y81" i="43"/>
  <c r="U81" i="43"/>
  <c r="P81" i="43"/>
  <c r="T81" i="43"/>
  <c r="Z80" i="43"/>
  <c r="Y80" i="43"/>
  <c r="U80" i="43"/>
  <c r="P80" i="43"/>
  <c r="T80" i="43"/>
  <c r="Z79" i="43"/>
  <c r="Y79" i="43"/>
  <c r="U79" i="43"/>
  <c r="P79" i="43"/>
  <c r="Z78" i="43"/>
  <c r="Y78" i="43"/>
  <c r="U78" i="43"/>
  <c r="P78" i="43"/>
  <c r="Z77" i="43"/>
  <c r="Y77" i="43"/>
  <c r="U77" i="43"/>
  <c r="P77" i="43"/>
  <c r="Z76" i="43"/>
  <c r="Y76" i="43"/>
  <c r="U76" i="43"/>
  <c r="P76" i="43"/>
  <c r="T76" i="43"/>
  <c r="Z75" i="43"/>
  <c r="Y75" i="43"/>
  <c r="U75" i="43"/>
  <c r="P75" i="43"/>
  <c r="T75" i="43"/>
  <c r="Z74" i="43"/>
  <c r="Y74" i="43"/>
  <c r="U74" i="43"/>
  <c r="P74" i="43"/>
  <c r="Z73" i="43"/>
  <c r="Y73" i="43"/>
  <c r="U73" i="43"/>
  <c r="P73" i="43"/>
  <c r="T73" i="43"/>
  <c r="Z72" i="43"/>
  <c r="Y72" i="43"/>
  <c r="U72" i="43"/>
  <c r="T72" i="43"/>
  <c r="P72" i="43"/>
  <c r="Z71" i="43"/>
  <c r="Y71" i="43"/>
  <c r="U71" i="43"/>
  <c r="P71" i="43"/>
  <c r="Z70" i="43"/>
  <c r="Y70" i="43"/>
  <c r="U70" i="43"/>
  <c r="P70" i="43"/>
  <c r="Z69" i="43"/>
  <c r="Y69" i="43"/>
  <c r="U69" i="43"/>
  <c r="P69" i="43"/>
  <c r="T69" i="43"/>
  <c r="Z68" i="43"/>
  <c r="Y68" i="43"/>
  <c r="U68" i="43"/>
  <c r="P68" i="43"/>
  <c r="T68" i="43"/>
  <c r="Z67" i="43"/>
  <c r="Y67" i="43"/>
  <c r="U67" i="43"/>
  <c r="P67" i="43"/>
  <c r="T67" i="43"/>
  <c r="Z66" i="43"/>
  <c r="Y66" i="43"/>
  <c r="U66" i="43"/>
  <c r="P66" i="43"/>
  <c r="T66" i="43"/>
  <c r="Z59" i="43"/>
  <c r="Y59" i="43"/>
  <c r="Q59" i="43"/>
  <c r="P59" i="43"/>
  <c r="O59" i="43"/>
  <c r="M59" i="43"/>
  <c r="L59" i="43"/>
  <c r="K59" i="43"/>
  <c r="T59" i="43" s="1"/>
  <c r="G59" i="43"/>
  <c r="H59" i="43" s="1"/>
  <c r="Z60" i="43"/>
  <c r="Y60" i="43"/>
  <c r="Q60" i="43"/>
  <c r="P60" i="43"/>
  <c r="O60" i="43"/>
  <c r="M60" i="43"/>
  <c r="L60" i="43"/>
  <c r="K60" i="43"/>
  <c r="T60" i="43" s="1"/>
  <c r="G60" i="43"/>
  <c r="H60" i="43" s="1"/>
  <c r="Z58" i="43"/>
  <c r="Y58" i="43"/>
  <c r="Q58" i="43"/>
  <c r="P58" i="43"/>
  <c r="O58" i="43"/>
  <c r="M58" i="43"/>
  <c r="L58" i="43"/>
  <c r="K58" i="43"/>
  <c r="T58" i="43" s="1"/>
  <c r="G58" i="43"/>
  <c r="H58" i="43" s="1"/>
  <c r="Z57" i="43"/>
  <c r="Y57" i="43"/>
  <c r="Q57" i="43"/>
  <c r="P57" i="43"/>
  <c r="O57" i="43"/>
  <c r="M57" i="43"/>
  <c r="L57" i="43"/>
  <c r="K57" i="43"/>
  <c r="T57" i="43" s="1"/>
  <c r="G57" i="43"/>
  <c r="H57" i="43"/>
  <c r="Z56" i="43"/>
  <c r="Y56" i="43"/>
  <c r="Q56" i="43"/>
  <c r="P56" i="43"/>
  <c r="O56" i="43"/>
  <c r="M56" i="43"/>
  <c r="L56" i="43"/>
  <c r="K56" i="43"/>
  <c r="T56" i="43" s="1"/>
  <c r="G56" i="43"/>
  <c r="H56" i="43" s="1"/>
  <c r="Z55" i="43"/>
  <c r="Y55" i="43"/>
  <c r="Q55" i="43"/>
  <c r="P55" i="43"/>
  <c r="O55" i="43"/>
  <c r="M55" i="43"/>
  <c r="L55" i="43"/>
  <c r="K55" i="43"/>
  <c r="T55" i="43" s="1"/>
  <c r="G55" i="43"/>
  <c r="H55" i="43" s="1"/>
  <c r="Z54" i="43"/>
  <c r="Y54" i="43"/>
  <c r="Q54" i="43"/>
  <c r="P54" i="43"/>
  <c r="O54" i="43"/>
  <c r="M54" i="43"/>
  <c r="L54" i="43"/>
  <c r="K54" i="43"/>
  <c r="T54" i="43" s="1"/>
  <c r="G54" i="43"/>
  <c r="H54" i="43" s="1"/>
  <c r="Z53" i="43"/>
  <c r="Y53" i="43"/>
  <c r="Q53" i="43"/>
  <c r="P53" i="43"/>
  <c r="O53" i="43"/>
  <c r="M53" i="43"/>
  <c r="L53" i="43"/>
  <c r="K53" i="43"/>
  <c r="T53" i="43" s="1"/>
  <c r="G53" i="43"/>
  <c r="H53" i="43" s="1"/>
  <c r="Z95" i="41"/>
  <c r="Y95" i="41"/>
  <c r="X95" i="41"/>
  <c r="W95" i="41"/>
  <c r="U95" i="41"/>
  <c r="P95" i="41"/>
  <c r="Z94" i="41"/>
  <c r="Y94" i="41"/>
  <c r="X94" i="41"/>
  <c r="W94" i="41"/>
  <c r="U94" i="41"/>
  <c r="P94" i="41"/>
  <c r="Z93" i="41"/>
  <c r="Y93" i="41"/>
  <c r="X93" i="41"/>
  <c r="W93" i="41"/>
  <c r="U93" i="41"/>
  <c r="P93" i="41"/>
  <c r="Z92" i="41"/>
  <c r="Y92" i="41"/>
  <c r="X92" i="41"/>
  <c r="W92" i="41"/>
  <c r="U92" i="41"/>
  <c r="P92" i="41"/>
  <c r="Z91" i="41"/>
  <c r="Y91" i="41"/>
  <c r="X91" i="41"/>
  <c r="W91" i="41"/>
  <c r="U91" i="41"/>
  <c r="P91" i="41"/>
  <c r="Z90" i="41"/>
  <c r="Y90" i="41"/>
  <c r="X90" i="41"/>
  <c r="W90" i="41"/>
  <c r="U90" i="41"/>
  <c r="P90" i="41"/>
  <c r="T90" i="41"/>
  <c r="Z89" i="41"/>
  <c r="Y89" i="41"/>
  <c r="X89" i="41"/>
  <c r="W89" i="41"/>
  <c r="U89" i="41"/>
  <c r="P89" i="41"/>
  <c r="T89" i="41"/>
  <c r="Z88" i="41"/>
  <c r="Y88" i="41"/>
  <c r="X88" i="41"/>
  <c r="W88" i="41"/>
  <c r="U88" i="41"/>
  <c r="P88" i="41"/>
  <c r="T88" i="41"/>
  <c r="Z87" i="41"/>
  <c r="Y87" i="41"/>
  <c r="X87" i="41"/>
  <c r="W87" i="41"/>
  <c r="U87" i="41"/>
  <c r="P87" i="41"/>
  <c r="Z86" i="41"/>
  <c r="Y86" i="41"/>
  <c r="X86" i="41"/>
  <c r="W86" i="41"/>
  <c r="U86" i="41"/>
  <c r="P86" i="41"/>
  <c r="Z85" i="41"/>
  <c r="Y85" i="41"/>
  <c r="X85" i="41"/>
  <c r="W85" i="41"/>
  <c r="U85" i="41"/>
  <c r="P85" i="41"/>
  <c r="Z84" i="41"/>
  <c r="Y84" i="41"/>
  <c r="X84" i="41"/>
  <c r="W84" i="41"/>
  <c r="U84" i="41"/>
  <c r="P84" i="41"/>
  <c r="Z83" i="41"/>
  <c r="Y83" i="41"/>
  <c r="X83" i="41"/>
  <c r="W83" i="41"/>
  <c r="U83" i="41"/>
  <c r="P83" i="41"/>
  <c r="Z82" i="41"/>
  <c r="Y82" i="41"/>
  <c r="X82" i="41"/>
  <c r="W82" i="41"/>
  <c r="U82" i="41"/>
  <c r="P82" i="41"/>
  <c r="Z81" i="41"/>
  <c r="Y81" i="41"/>
  <c r="X81" i="41"/>
  <c r="W81" i="41"/>
  <c r="U81" i="41"/>
  <c r="P81" i="41"/>
  <c r="Z80" i="41"/>
  <c r="Y80" i="41"/>
  <c r="X80" i="41"/>
  <c r="W80" i="41"/>
  <c r="U80" i="41"/>
  <c r="P80" i="41"/>
  <c r="Z79" i="41"/>
  <c r="Y79" i="41"/>
  <c r="X79" i="41"/>
  <c r="W79" i="41"/>
  <c r="U79" i="41"/>
  <c r="P79" i="41"/>
  <c r="Z78" i="41"/>
  <c r="Y78" i="41"/>
  <c r="X78" i="41"/>
  <c r="W78" i="41"/>
  <c r="U78" i="41"/>
  <c r="P78" i="41"/>
  <c r="T78" i="41"/>
  <c r="Z77" i="41"/>
  <c r="Y77" i="41"/>
  <c r="X77" i="41"/>
  <c r="W77" i="41"/>
  <c r="U77" i="41"/>
  <c r="P77" i="41"/>
  <c r="Z76" i="41"/>
  <c r="Y76" i="41"/>
  <c r="X76" i="41"/>
  <c r="W76" i="41"/>
  <c r="U76" i="41"/>
  <c r="P76" i="41"/>
  <c r="Z75" i="41"/>
  <c r="Y75" i="41"/>
  <c r="X75" i="41"/>
  <c r="W75" i="41"/>
  <c r="U75" i="41"/>
  <c r="P75" i="41"/>
  <c r="Z74" i="41"/>
  <c r="Y74" i="41"/>
  <c r="X74" i="41"/>
  <c r="W74" i="41"/>
  <c r="U74" i="41"/>
  <c r="P74" i="41"/>
  <c r="T74" i="41"/>
  <c r="Z73" i="41"/>
  <c r="Y73" i="41"/>
  <c r="X73" i="41"/>
  <c r="W73" i="41"/>
  <c r="U73" i="41"/>
  <c r="P73" i="41"/>
  <c r="Z72" i="41"/>
  <c r="Y72" i="41"/>
  <c r="X72" i="41"/>
  <c r="W72" i="41"/>
  <c r="U72" i="41"/>
  <c r="P72" i="41"/>
  <c r="T72" i="41"/>
  <c r="Z71" i="41"/>
  <c r="Y71" i="41"/>
  <c r="X71" i="41"/>
  <c r="W71" i="41"/>
  <c r="U71" i="41"/>
  <c r="P71" i="41"/>
  <c r="Z70" i="41"/>
  <c r="Y70" i="41"/>
  <c r="X70" i="41"/>
  <c r="W70" i="41"/>
  <c r="U70" i="41"/>
  <c r="P70" i="41"/>
  <c r="Z69" i="41"/>
  <c r="Y69" i="41"/>
  <c r="X69" i="41"/>
  <c r="W69" i="41"/>
  <c r="U69" i="41"/>
  <c r="P69" i="41"/>
  <c r="W68" i="41"/>
  <c r="Y68" i="41"/>
  <c r="P68" i="41"/>
  <c r="X68" i="41"/>
  <c r="U68" i="41"/>
  <c r="W67" i="41"/>
  <c r="Y67" i="41"/>
  <c r="U67" i="41"/>
  <c r="X67" i="41"/>
  <c r="U66" i="41"/>
  <c r="T66" i="41"/>
  <c r="X66" i="41"/>
  <c r="B63" i="39"/>
  <c r="B62" i="39"/>
  <c r="B61" i="39"/>
  <c r="B60" i="39"/>
  <c r="B59" i="39"/>
  <c r="B58" i="39"/>
  <c r="B57" i="39"/>
  <c r="B56" i="39"/>
  <c r="B55" i="39"/>
  <c r="B48" i="39"/>
  <c r="B47" i="39"/>
  <c r="B46" i="39"/>
  <c r="B39" i="39"/>
  <c r="B38" i="39"/>
  <c r="B37" i="39"/>
  <c r="B36" i="39"/>
  <c r="B35" i="39"/>
  <c r="B34" i="39"/>
  <c r="B33" i="39"/>
  <c r="B32" i="39"/>
  <c r="B31" i="39"/>
  <c r="B24" i="39"/>
  <c r="B23" i="39"/>
  <c r="B22" i="39"/>
  <c r="W68" i="48"/>
  <c r="T68" i="48"/>
  <c r="X68" i="48"/>
  <c r="W67" i="48"/>
  <c r="X67" i="48"/>
  <c r="U68" i="48"/>
  <c r="W66" i="41"/>
  <c r="Y66" i="41"/>
  <c r="P67" i="41"/>
  <c r="Z68" i="41"/>
  <c r="Z67" i="41"/>
  <c r="Z66" i="41"/>
  <c r="P66" i="41"/>
  <c r="E63" i="39"/>
  <c r="E62" i="39"/>
  <c r="E61" i="39"/>
  <c r="E60" i="39"/>
  <c r="E59" i="39"/>
  <c r="E58" i="39"/>
  <c r="E57" i="39"/>
  <c r="E56" i="39"/>
  <c r="E55" i="39"/>
  <c r="E54" i="39"/>
  <c r="E53" i="39"/>
  <c r="E52" i="39"/>
  <c r="E51" i="39"/>
  <c r="E50" i="39"/>
  <c r="E49" i="39"/>
  <c r="E48" i="39"/>
  <c r="E47" i="39"/>
  <c r="E46" i="39"/>
  <c r="E45" i="39"/>
  <c r="E44" i="39"/>
  <c r="E39" i="39"/>
  <c r="E38" i="39"/>
  <c r="E37" i="39"/>
  <c r="E36" i="39"/>
  <c r="E35" i="39"/>
  <c r="E34" i="39"/>
  <c r="E33" i="39"/>
  <c r="E32" i="39"/>
  <c r="E31" i="39"/>
  <c r="E30" i="39"/>
  <c r="E29" i="39"/>
  <c r="E28" i="39"/>
  <c r="E27" i="39"/>
  <c r="E26" i="39"/>
  <c r="E25" i="39"/>
  <c r="E24" i="39"/>
  <c r="E23" i="39"/>
  <c r="E22" i="39"/>
  <c r="E21" i="39"/>
  <c r="E20" i="39"/>
  <c r="F231" i="37"/>
  <c r="T231" i="37"/>
  <c r="S231" i="37"/>
  <c r="R231" i="37"/>
  <c r="Q231" i="37"/>
  <c r="L231" i="37"/>
  <c r="M231" i="37" s="1"/>
  <c r="M49" i="48"/>
  <c r="P49" i="48" s="1"/>
  <c r="H25" i="44"/>
  <c r="H24" i="44"/>
  <c r="H25" i="54"/>
  <c r="Z25" i="54" s="1"/>
  <c r="H24" i="54"/>
  <c r="Z24" i="54" s="1"/>
  <c r="H25" i="48"/>
  <c r="Z25" i="48" s="1"/>
  <c r="H24" i="48"/>
  <c r="Z24" i="48" s="1"/>
  <c r="I60" i="53"/>
  <c r="I59" i="53"/>
  <c r="I58" i="53"/>
  <c r="I57" i="53"/>
  <c r="I56" i="53"/>
  <c r="I55" i="53"/>
  <c r="I54" i="53"/>
  <c r="I53" i="53"/>
  <c r="I52" i="53"/>
  <c r="I51" i="53"/>
  <c r="I50" i="53"/>
  <c r="I49" i="53"/>
  <c r="I48" i="53"/>
  <c r="AB48" i="53"/>
  <c r="I47" i="53"/>
  <c r="AB47" i="53"/>
  <c r="I46" i="53"/>
  <c r="AB46" i="53"/>
  <c r="I45" i="53"/>
  <c r="AB45" i="53"/>
  <c r="I44" i="53"/>
  <c r="AB44" i="53"/>
  <c r="I43" i="53"/>
  <c r="AB43" i="53"/>
  <c r="I42" i="53"/>
  <c r="AB42" i="53"/>
  <c r="I41" i="53"/>
  <c r="AB41" i="53"/>
  <c r="I40" i="53"/>
  <c r="W40" i="53" s="1" a="1"/>
  <c r="W40" i="53" s="1"/>
  <c r="I39" i="53"/>
  <c r="AB39" i="53" s="1"/>
  <c r="I38" i="53"/>
  <c r="AB38" i="53"/>
  <c r="I37" i="53"/>
  <c r="AB37" i="53"/>
  <c r="I36" i="53"/>
  <c r="AB36" i="53" s="1"/>
  <c r="I35" i="53"/>
  <c r="AB35" i="53" s="1"/>
  <c r="I34" i="53"/>
  <c r="AB34" i="53" s="1"/>
  <c r="AB33" i="53"/>
  <c r="I32" i="53"/>
  <c r="AB32" i="53" s="1"/>
  <c r="I31" i="53"/>
  <c r="W31" i="53" s="1" a="1"/>
  <c r="W31" i="53" s="1"/>
  <c r="I60" i="46"/>
  <c r="I59" i="46"/>
  <c r="I58" i="46"/>
  <c r="I57" i="46"/>
  <c r="AB57" i="46"/>
  <c r="I56" i="46"/>
  <c r="AB56" i="46"/>
  <c r="I55" i="46"/>
  <c r="AB55" i="46"/>
  <c r="I54" i="46"/>
  <c r="AB54" i="46"/>
  <c r="I53" i="46"/>
  <c r="AB53" i="46"/>
  <c r="I52" i="46"/>
  <c r="AB52" i="46"/>
  <c r="I51" i="46"/>
  <c r="AB51" i="46"/>
  <c r="I50" i="46"/>
  <c r="AB50" i="46"/>
  <c r="I49" i="46"/>
  <c r="AB49" i="46"/>
  <c r="I48" i="46"/>
  <c r="AB48" i="46"/>
  <c r="I47" i="46"/>
  <c r="AB47" i="46"/>
  <c r="I46" i="46"/>
  <c r="AB46" i="46"/>
  <c r="I45" i="46"/>
  <c r="AB45" i="46"/>
  <c r="I44" i="46"/>
  <c r="AB44" i="46"/>
  <c r="I43" i="46"/>
  <c r="AB43" i="46"/>
  <c r="I42" i="46"/>
  <c r="AB42" i="46"/>
  <c r="I41" i="46"/>
  <c r="AB41" i="46"/>
  <c r="I40" i="46"/>
  <c r="AB40" i="46"/>
  <c r="I39" i="46"/>
  <c r="AB39" i="46"/>
  <c r="I38" i="46"/>
  <c r="AB38" i="46"/>
  <c r="I37" i="46"/>
  <c r="AB37" i="46"/>
  <c r="I36" i="46"/>
  <c r="S36" i="46" s="1"/>
  <c r="AB36" i="46"/>
  <c r="I35" i="46"/>
  <c r="W35" i="46" s="1" a="1"/>
  <c r="W35" i="46" s="1"/>
  <c r="AB35" i="46"/>
  <c r="AB34" i="46"/>
  <c r="I33" i="46"/>
  <c r="AB33" i="46"/>
  <c r="I32" i="46"/>
  <c r="AB32" i="46" s="1"/>
  <c r="I31" i="46"/>
  <c r="AB31" i="46" s="1"/>
  <c r="I25" i="46"/>
  <c r="I24" i="46"/>
  <c r="AB24" i="46" s="1"/>
  <c r="H60" i="41"/>
  <c r="Z60" i="41" s="1"/>
  <c r="H59" i="41"/>
  <c r="H58" i="41"/>
  <c r="Z58" i="41" s="1"/>
  <c r="H57" i="41"/>
  <c r="Z57" i="41" s="1"/>
  <c r="H56" i="41"/>
  <c r="Z56" i="41" s="1"/>
  <c r="H55" i="41"/>
  <c r="H54" i="41"/>
  <c r="Z54" i="41" s="1"/>
  <c r="H53" i="41"/>
  <c r="Z53" i="41" s="1"/>
  <c r="H52" i="41"/>
  <c r="Z52" i="41" s="1"/>
  <c r="H51" i="41"/>
  <c r="Z51" i="41" s="1"/>
  <c r="H50" i="41"/>
  <c r="Z50" i="41" s="1"/>
  <c r="H49" i="41"/>
  <c r="Z49" i="41" s="1"/>
  <c r="H48" i="41"/>
  <c r="Z48" i="41" s="1"/>
  <c r="H47" i="41"/>
  <c r="U47" i="41" s="1"/>
  <c r="H46" i="41"/>
  <c r="Z46" i="41" s="1"/>
  <c r="H45" i="41"/>
  <c r="Z45" i="41" s="1"/>
  <c r="H44" i="41"/>
  <c r="Z44" i="41" s="1"/>
  <c r="H43" i="41"/>
  <c r="Z43" i="41" s="1"/>
  <c r="H42" i="41"/>
  <c r="Z42" i="41" s="1"/>
  <c r="H41" i="41"/>
  <c r="Z41" i="41" s="1"/>
  <c r="H40" i="41"/>
  <c r="Z40" i="41" s="1"/>
  <c r="H39" i="41"/>
  <c r="U39" i="41" s="1"/>
  <c r="H38" i="41"/>
  <c r="Z38" i="41" s="1"/>
  <c r="H37" i="41"/>
  <c r="Z37" i="41" s="1"/>
  <c r="H36" i="41"/>
  <c r="Z36" i="41" s="1"/>
  <c r="H35" i="41"/>
  <c r="Z35" i="41" s="1"/>
  <c r="H34" i="41"/>
  <c r="Z34" i="41" s="1"/>
  <c r="H33" i="41"/>
  <c r="U33" i="41" s="1"/>
  <c r="Z31" i="41"/>
  <c r="H25" i="41"/>
  <c r="Z25" i="41" s="1"/>
  <c r="H24" i="41"/>
  <c r="Z24" i="41" s="1"/>
  <c r="H24" i="33"/>
  <c r="M398" i="37"/>
  <c r="M397" i="37"/>
  <c r="M396" i="37"/>
  <c r="M395" i="37"/>
  <c r="M394" i="37"/>
  <c r="M393" i="37"/>
  <c r="M392" i="37"/>
  <c r="M391" i="37"/>
  <c r="M390" i="37"/>
  <c r="M389" i="37"/>
  <c r="M388" i="37"/>
  <c r="M387" i="37"/>
  <c r="M386" i="37"/>
  <c r="M385" i="37"/>
  <c r="M384" i="37"/>
  <c r="M383" i="37"/>
  <c r="M382" i="37"/>
  <c r="M381" i="37"/>
  <c r="M380" i="37"/>
  <c r="M379" i="37"/>
  <c r="M378" i="37"/>
  <c r="M377" i="37"/>
  <c r="M376" i="37"/>
  <c r="M375" i="37"/>
  <c r="M374" i="37"/>
  <c r="M373" i="37"/>
  <c r="M372" i="37"/>
  <c r="M371" i="37"/>
  <c r="M370" i="37"/>
  <c r="M369" i="37"/>
  <c r="M368" i="37"/>
  <c r="M367" i="37"/>
  <c r="M366" i="37"/>
  <c r="M365" i="37"/>
  <c r="M364" i="37"/>
  <c r="M363" i="37"/>
  <c r="M362" i="37"/>
  <c r="M361" i="37"/>
  <c r="M360" i="37"/>
  <c r="M359" i="37"/>
  <c r="M358" i="37"/>
  <c r="M357" i="37"/>
  <c r="M356" i="37"/>
  <c r="M355" i="37"/>
  <c r="M354" i="37"/>
  <c r="M353" i="37"/>
  <c r="M352" i="37"/>
  <c r="M351" i="37"/>
  <c r="M350" i="37"/>
  <c r="M349" i="37"/>
  <c r="M348" i="37"/>
  <c r="M347" i="37"/>
  <c r="M346" i="37"/>
  <c r="M345" i="37"/>
  <c r="M344" i="37"/>
  <c r="M343" i="37"/>
  <c r="M342" i="37"/>
  <c r="M341" i="37"/>
  <c r="M340" i="37"/>
  <c r="M339" i="37"/>
  <c r="M338" i="37"/>
  <c r="M337" i="37"/>
  <c r="M336" i="37"/>
  <c r="M335" i="37"/>
  <c r="M334" i="37"/>
  <c r="M333" i="37"/>
  <c r="M332" i="37"/>
  <c r="M331" i="37"/>
  <c r="M330" i="37"/>
  <c r="M329" i="37"/>
  <c r="M328" i="37"/>
  <c r="M327" i="37"/>
  <c r="M326" i="37"/>
  <c r="M325" i="37"/>
  <c r="M324" i="37"/>
  <c r="M323" i="37"/>
  <c r="M322" i="37"/>
  <c r="M321" i="37"/>
  <c r="M320" i="37"/>
  <c r="M319" i="37"/>
  <c r="M318" i="37"/>
  <c r="M317" i="37"/>
  <c r="M316" i="37"/>
  <c r="M314" i="37"/>
  <c r="M313" i="37"/>
  <c r="M312" i="37"/>
  <c r="M311" i="37"/>
  <c r="M310" i="37"/>
  <c r="M309" i="37"/>
  <c r="M308" i="37"/>
  <c r="M307" i="37"/>
  <c r="M306" i="37"/>
  <c r="M305" i="37"/>
  <c r="M304" i="37"/>
  <c r="M303" i="37"/>
  <c r="M302" i="37"/>
  <c r="M301" i="37"/>
  <c r="M300" i="37"/>
  <c r="M299" i="37"/>
  <c r="M298" i="37"/>
  <c r="M297" i="37"/>
  <c r="M296" i="37"/>
  <c r="M295" i="37"/>
  <c r="M294" i="37"/>
  <c r="M293" i="37"/>
  <c r="M292" i="37"/>
  <c r="M291" i="37"/>
  <c r="M290" i="37"/>
  <c r="M289" i="37"/>
  <c r="M288" i="37"/>
  <c r="M287" i="37"/>
  <c r="M286" i="37"/>
  <c r="M285" i="37"/>
  <c r="M284" i="37"/>
  <c r="M283" i="37"/>
  <c r="M282" i="37"/>
  <c r="M281" i="37"/>
  <c r="M280" i="37"/>
  <c r="M279" i="37"/>
  <c r="M278" i="37"/>
  <c r="M277" i="37"/>
  <c r="M276" i="37"/>
  <c r="M275" i="37"/>
  <c r="M274" i="37"/>
  <c r="M273" i="37"/>
  <c r="M272" i="37"/>
  <c r="M271" i="37"/>
  <c r="M270" i="37"/>
  <c r="M269" i="37"/>
  <c r="M268" i="37"/>
  <c r="M267" i="37"/>
  <c r="M266" i="37"/>
  <c r="M265" i="37"/>
  <c r="M264" i="37"/>
  <c r="M263" i="37"/>
  <c r="M262" i="37"/>
  <c r="M261" i="37"/>
  <c r="M260" i="37"/>
  <c r="M259" i="37"/>
  <c r="M258" i="37"/>
  <c r="M257" i="37"/>
  <c r="M256" i="37"/>
  <c r="M255" i="37"/>
  <c r="M254" i="37"/>
  <c r="M253" i="37"/>
  <c r="M252" i="37"/>
  <c r="M251" i="37"/>
  <c r="M250" i="37"/>
  <c r="M249" i="37"/>
  <c r="M248" i="37"/>
  <c r="M247" i="37"/>
  <c r="M246" i="37"/>
  <c r="M245" i="37"/>
  <c r="M244" i="37"/>
  <c r="M243" i="37"/>
  <c r="M242" i="37"/>
  <c r="M241" i="37"/>
  <c r="M240" i="37"/>
  <c r="M239" i="37"/>
  <c r="M238" i="37"/>
  <c r="M230" i="37"/>
  <c r="M229" i="37"/>
  <c r="M228" i="37"/>
  <c r="M227" i="37"/>
  <c r="M226" i="37"/>
  <c r="M225" i="37"/>
  <c r="M224" i="37"/>
  <c r="M223" i="37"/>
  <c r="M222" i="37"/>
  <c r="M221" i="37"/>
  <c r="M220" i="37"/>
  <c r="M219" i="37"/>
  <c r="M218" i="37"/>
  <c r="M217" i="37"/>
  <c r="M201" i="37"/>
  <c r="M200" i="37"/>
  <c r="M198" i="37"/>
  <c r="M197" i="37"/>
  <c r="M196" i="37"/>
  <c r="M180" i="37"/>
  <c r="M179" i="37"/>
  <c r="M178" i="37"/>
  <c r="M177" i="37"/>
  <c r="M138" i="37"/>
  <c r="M139" i="37"/>
  <c r="M140" i="37"/>
  <c r="M141" i="37"/>
  <c r="M142" i="37"/>
  <c r="M143" i="37"/>
  <c r="M144" i="37"/>
  <c r="M145" i="37"/>
  <c r="M146" i="37"/>
  <c r="M147" i="37"/>
  <c r="M148" i="37"/>
  <c r="M149" i="37"/>
  <c r="M150" i="37"/>
  <c r="M151" i="37"/>
  <c r="M152" i="37"/>
  <c r="M153" i="37"/>
  <c r="M154" i="37"/>
  <c r="M155" i="37"/>
  <c r="M156" i="37"/>
  <c r="M157" i="37"/>
  <c r="M158" i="37"/>
  <c r="M159" i="37"/>
  <c r="M160" i="37"/>
  <c r="M161" i="37"/>
  <c r="M162" i="37"/>
  <c r="M163" i="37"/>
  <c r="M164" i="37"/>
  <c r="M165" i="37"/>
  <c r="M166" i="37"/>
  <c r="M167" i="37"/>
  <c r="M168" i="37"/>
  <c r="M169" i="37"/>
  <c r="M170" i="37"/>
  <c r="M131" i="37"/>
  <c r="M130" i="37"/>
  <c r="M129" i="37"/>
  <c r="M128" i="37"/>
  <c r="M127" i="37"/>
  <c r="M126" i="37"/>
  <c r="M125" i="37"/>
  <c r="M124" i="37"/>
  <c r="M123" i="37"/>
  <c r="M122" i="37"/>
  <c r="M121" i="37"/>
  <c r="M120" i="37"/>
  <c r="M119" i="37"/>
  <c r="M118" i="37"/>
  <c r="M117" i="37"/>
  <c r="M116" i="37"/>
  <c r="M115" i="37"/>
  <c r="M114" i="37"/>
  <c r="M113" i="37"/>
  <c r="M112" i="37"/>
  <c r="M111" i="37"/>
  <c r="M110" i="37"/>
  <c r="M104" i="37"/>
  <c r="M103" i="37"/>
  <c r="M102" i="37"/>
  <c r="M101" i="37"/>
  <c r="M100" i="37"/>
  <c r="M99" i="37"/>
  <c r="M98" i="37"/>
  <c r="M97" i="37"/>
  <c r="M96" i="37"/>
  <c r="M95" i="37"/>
  <c r="M94" i="37"/>
  <c r="M93" i="37"/>
  <c r="M92" i="37"/>
  <c r="M91" i="37"/>
  <c r="M76" i="37"/>
  <c r="M75" i="37"/>
  <c r="M73" i="37"/>
  <c r="M72" i="37"/>
  <c r="M71" i="37"/>
  <c r="M65" i="37"/>
  <c r="M64" i="37"/>
  <c r="M63" i="37"/>
  <c r="M62" i="37"/>
  <c r="M61" i="37"/>
  <c r="M60" i="37"/>
  <c r="M59" i="37"/>
  <c r="M58" i="37"/>
  <c r="M57" i="37"/>
  <c r="M56" i="37"/>
  <c r="M55" i="37"/>
  <c r="M54" i="37"/>
  <c r="M53" i="37"/>
  <c r="M52" i="37"/>
  <c r="M51" i="37"/>
  <c r="M50" i="37"/>
  <c r="M49" i="37"/>
  <c r="M48" i="37"/>
  <c r="M47" i="37"/>
  <c r="M46" i="37"/>
  <c r="M45" i="37"/>
  <c r="M44" i="37"/>
  <c r="M43" i="37"/>
  <c r="M42" i="37"/>
  <c r="M41" i="37"/>
  <c r="M40" i="37"/>
  <c r="M28" i="37"/>
  <c r="M27" i="37"/>
  <c r="M26" i="37"/>
  <c r="M25" i="37"/>
  <c r="M24" i="37"/>
  <c r="M23" i="37"/>
  <c r="M22" i="37"/>
  <c r="M21" i="37"/>
  <c r="M20" i="37"/>
  <c r="M19" i="37"/>
  <c r="X58" i="48"/>
  <c r="X46" i="48"/>
  <c r="Z52" i="43"/>
  <c r="Y52" i="43"/>
  <c r="Z51" i="43"/>
  <c r="Y51" i="43"/>
  <c r="Z50" i="43"/>
  <c r="Y50" i="43"/>
  <c r="Z49" i="43"/>
  <c r="Y49" i="43"/>
  <c r="Z48" i="43"/>
  <c r="Y48" i="43"/>
  <c r="Z47" i="43"/>
  <c r="Y47" i="43"/>
  <c r="Z46" i="43"/>
  <c r="Y46" i="43"/>
  <c r="Z45" i="43"/>
  <c r="Y45" i="43"/>
  <c r="Z44" i="43"/>
  <c r="Y44" i="43"/>
  <c r="Z43" i="43"/>
  <c r="Y43" i="43"/>
  <c r="Z42" i="43"/>
  <c r="Y42" i="43"/>
  <c r="Z41" i="43"/>
  <c r="Y41" i="43"/>
  <c r="Z40" i="43"/>
  <c r="Y40" i="43"/>
  <c r="Z39" i="43"/>
  <c r="Y39" i="43"/>
  <c r="Z38" i="43"/>
  <c r="Y38" i="43"/>
  <c r="Z37" i="43"/>
  <c r="Y37" i="43"/>
  <c r="Z36" i="43"/>
  <c r="Y36" i="43"/>
  <c r="U60" i="41"/>
  <c r="U59" i="41"/>
  <c r="U56" i="41"/>
  <c r="U54" i="41"/>
  <c r="U53" i="41"/>
  <c r="U52" i="41"/>
  <c r="U51" i="41"/>
  <c r="V51" i="41" s="1"/>
  <c r="W51" i="41" s="1"/>
  <c r="Y51" i="41" s="1"/>
  <c r="U46" i="41"/>
  <c r="U45" i="41"/>
  <c r="U44" i="41"/>
  <c r="V44" i="41" s="1"/>
  <c r="W44" i="41" s="1"/>
  <c r="Y44" i="41" s="1"/>
  <c r="U43" i="41"/>
  <c r="V43" i="41" s="1"/>
  <c r="W43" i="41" s="1"/>
  <c r="Y43" i="41" s="1"/>
  <c r="U41" i="41"/>
  <c r="U60" i="33"/>
  <c r="U59" i="33"/>
  <c r="U58" i="33"/>
  <c r="U56" i="33"/>
  <c r="U52" i="33"/>
  <c r="U48" i="33"/>
  <c r="U44" i="33"/>
  <c r="H25" i="33"/>
  <c r="F406" i="37"/>
  <c r="G31" i="43"/>
  <c r="H31" i="43" s="1"/>
  <c r="P33" i="42"/>
  <c r="K31" i="42"/>
  <c r="K25" i="43"/>
  <c r="G25" i="43"/>
  <c r="H25" i="43" s="1"/>
  <c r="K24" i="43"/>
  <c r="O24" i="43" s="1"/>
  <c r="G24" i="43"/>
  <c r="H24" i="43" s="1"/>
  <c r="K25" i="44"/>
  <c r="O25" i="44" s="1"/>
  <c r="K24" i="44"/>
  <c r="O24" i="44" s="1"/>
  <c r="M25" i="54"/>
  <c r="K25" i="54"/>
  <c r="O25" i="54" s="1"/>
  <c r="M24" i="54"/>
  <c r="K24" i="54"/>
  <c r="O24" i="54" s="1"/>
  <c r="K25" i="48"/>
  <c r="O25" i="48" s="1"/>
  <c r="K24" i="48"/>
  <c r="T24" i="48" s="1"/>
  <c r="X24" i="48" s="1"/>
  <c r="M25" i="53"/>
  <c r="M24" i="53"/>
  <c r="V24" i="53" s="1"/>
  <c r="Z24" i="53" s="1"/>
  <c r="M25" i="46"/>
  <c r="Q25" i="46" s="1"/>
  <c r="M24" i="46"/>
  <c r="Q24" i="46" s="1"/>
  <c r="J25" i="42"/>
  <c r="N25" i="42" s="1"/>
  <c r="G25" i="42"/>
  <c r="J24" i="42"/>
  <c r="N24" i="42" s="1"/>
  <c r="G24" i="42"/>
  <c r="K25" i="41"/>
  <c r="T25" i="41" s="1"/>
  <c r="X25" i="41" s="1"/>
  <c r="K24" i="41"/>
  <c r="K25" i="33"/>
  <c r="O25" i="33" s="1"/>
  <c r="K24" i="33"/>
  <c r="O24" i="33" s="1"/>
  <c r="T235" i="37"/>
  <c r="S235" i="37"/>
  <c r="R235" i="37"/>
  <c r="Q235" i="37"/>
  <c r="T234" i="37"/>
  <c r="S234" i="37"/>
  <c r="R234" i="37"/>
  <c r="Q234" i="37"/>
  <c r="T233" i="37"/>
  <c r="S233" i="37"/>
  <c r="R233" i="37"/>
  <c r="Q233" i="37"/>
  <c r="T232" i="37"/>
  <c r="S232" i="37"/>
  <c r="R232" i="37"/>
  <c r="Q232" i="37"/>
  <c r="T230" i="37"/>
  <c r="S230" i="37"/>
  <c r="R230" i="37"/>
  <c r="Q230" i="37"/>
  <c r="T229" i="37"/>
  <c r="S229" i="37"/>
  <c r="R229" i="37"/>
  <c r="Q229" i="37"/>
  <c r="T228" i="37"/>
  <c r="S228" i="37"/>
  <c r="R228" i="37"/>
  <c r="Q228" i="37"/>
  <c r="T227" i="37"/>
  <c r="S227" i="37"/>
  <c r="R227" i="37"/>
  <c r="Q227" i="37"/>
  <c r="T226" i="37"/>
  <c r="S226" i="37"/>
  <c r="R226" i="37"/>
  <c r="Q226" i="37"/>
  <c r="T225" i="37"/>
  <c r="S225" i="37"/>
  <c r="R225" i="37"/>
  <c r="Q225" i="37"/>
  <c r="T224" i="37"/>
  <c r="S224" i="37"/>
  <c r="R224" i="37"/>
  <c r="Q224" i="37"/>
  <c r="T223" i="37"/>
  <c r="S223" i="37"/>
  <c r="R223" i="37"/>
  <c r="Q223" i="37"/>
  <c r="T222" i="37"/>
  <c r="S222" i="37"/>
  <c r="R222" i="37"/>
  <c r="Q222" i="37"/>
  <c r="T221" i="37"/>
  <c r="S221" i="37"/>
  <c r="R221" i="37"/>
  <c r="Q221" i="37"/>
  <c r="T220" i="37"/>
  <c r="S220" i="37"/>
  <c r="R220" i="37"/>
  <c r="Q220" i="37"/>
  <c r="T219" i="37"/>
  <c r="S219" i="37"/>
  <c r="R219" i="37"/>
  <c r="Q219" i="37"/>
  <c r="T218" i="37"/>
  <c r="S218" i="37"/>
  <c r="R218" i="37"/>
  <c r="Q218" i="37"/>
  <c r="T217" i="37"/>
  <c r="S217" i="37"/>
  <c r="R217" i="37"/>
  <c r="Q217" i="37"/>
  <c r="T216" i="37"/>
  <c r="S216" i="37"/>
  <c r="R216" i="37"/>
  <c r="Q216" i="37"/>
  <c r="T215" i="37"/>
  <c r="S215" i="37"/>
  <c r="R215" i="37"/>
  <c r="Q215" i="37"/>
  <c r="T214" i="37"/>
  <c r="S214" i="37"/>
  <c r="R214" i="37"/>
  <c r="Q214" i="37"/>
  <c r="T213" i="37"/>
  <c r="S213" i="37"/>
  <c r="R213" i="37"/>
  <c r="Q213" i="37"/>
  <c r="T212" i="37"/>
  <c r="S212" i="37"/>
  <c r="R212" i="37"/>
  <c r="Q212" i="37"/>
  <c r="T211" i="37"/>
  <c r="S211" i="37"/>
  <c r="R211" i="37"/>
  <c r="Q211" i="37"/>
  <c r="T210" i="37"/>
  <c r="S210" i="37"/>
  <c r="R210" i="37"/>
  <c r="Q210" i="37"/>
  <c r="T209" i="37"/>
  <c r="S209" i="37"/>
  <c r="R209" i="37"/>
  <c r="Q209" i="37"/>
  <c r="T208" i="37"/>
  <c r="S208" i="37"/>
  <c r="R208" i="37"/>
  <c r="Q208" i="37"/>
  <c r="T207" i="37"/>
  <c r="S207" i="37"/>
  <c r="R207" i="37"/>
  <c r="Q207" i="37"/>
  <c r="T206" i="37"/>
  <c r="S206" i="37"/>
  <c r="R206" i="37"/>
  <c r="Q206" i="37"/>
  <c r="T205" i="37"/>
  <c r="S205" i="37"/>
  <c r="R205" i="37"/>
  <c r="Q205" i="37"/>
  <c r="T204" i="37"/>
  <c r="S204" i="37"/>
  <c r="R204" i="37"/>
  <c r="Q204" i="37"/>
  <c r="T203" i="37"/>
  <c r="S203" i="37"/>
  <c r="R203" i="37"/>
  <c r="Q203" i="37"/>
  <c r="T202" i="37"/>
  <c r="S202" i="37"/>
  <c r="R202" i="37"/>
  <c r="Q202" i="37"/>
  <c r="T201" i="37"/>
  <c r="S201" i="37"/>
  <c r="R201" i="37"/>
  <c r="Q201" i="37"/>
  <c r="T200" i="37"/>
  <c r="S200" i="37"/>
  <c r="R200" i="37"/>
  <c r="Q200" i="37"/>
  <c r="T198" i="37"/>
  <c r="S198" i="37"/>
  <c r="R198" i="37"/>
  <c r="Q198" i="37"/>
  <c r="T197" i="37"/>
  <c r="S197" i="37"/>
  <c r="S199" i="37" s="1"/>
  <c r="R197" i="37"/>
  <c r="R199" i="37" s="1"/>
  <c r="Q197" i="37"/>
  <c r="Q199" i="37" s="1"/>
  <c r="T196" i="37"/>
  <c r="S196" i="37"/>
  <c r="R196" i="37"/>
  <c r="Q196" i="37"/>
  <c r="T109" i="37"/>
  <c r="S109" i="37"/>
  <c r="R109" i="37"/>
  <c r="Q109" i="37"/>
  <c r="T108" i="37"/>
  <c r="S108" i="37"/>
  <c r="R108" i="37"/>
  <c r="Q108" i="37"/>
  <c r="T107" i="37"/>
  <c r="S107" i="37"/>
  <c r="R107" i="37"/>
  <c r="Q107" i="37"/>
  <c r="T106" i="37"/>
  <c r="S106" i="37"/>
  <c r="R106" i="37"/>
  <c r="Q106" i="37"/>
  <c r="T104" i="37"/>
  <c r="S104" i="37"/>
  <c r="R104" i="37"/>
  <c r="Q104" i="37"/>
  <c r="T103" i="37"/>
  <c r="S103" i="37"/>
  <c r="R103" i="37"/>
  <c r="Q103" i="37"/>
  <c r="T102" i="37"/>
  <c r="S102" i="37"/>
  <c r="R102" i="37"/>
  <c r="Q102" i="37"/>
  <c r="T101" i="37"/>
  <c r="S101" i="37"/>
  <c r="R101" i="37"/>
  <c r="Q101" i="37"/>
  <c r="T100" i="37"/>
  <c r="S100" i="37"/>
  <c r="R100" i="37"/>
  <c r="Q100" i="37"/>
  <c r="T99" i="37"/>
  <c r="S99" i="37"/>
  <c r="R99" i="37"/>
  <c r="Q99" i="37"/>
  <c r="T98" i="37"/>
  <c r="S98" i="37"/>
  <c r="R98" i="37"/>
  <c r="Q98" i="37"/>
  <c r="T97" i="37"/>
  <c r="S97" i="37"/>
  <c r="R97" i="37"/>
  <c r="Q97" i="37"/>
  <c r="T96" i="37"/>
  <c r="S96" i="37"/>
  <c r="R96" i="37"/>
  <c r="Q96" i="37"/>
  <c r="T95" i="37"/>
  <c r="S95" i="37"/>
  <c r="R95" i="37"/>
  <c r="Q95" i="37"/>
  <c r="T94" i="37"/>
  <c r="S94" i="37"/>
  <c r="R94" i="37"/>
  <c r="Q94" i="37"/>
  <c r="T93" i="37"/>
  <c r="S93" i="37"/>
  <c r="R93" i="37"/>
  <c r="Q93" i="37"/>
  <c r="T92" i="37"/>
  <c r="S92" i="37"/>
  <c r="R92" i="37"/>
  <c r="Q92" i="37"/>
  <c r="T91" i="37"/>
  <c r="S91" i="37"/>
  <c r="R91" i="37"/>
  <c r="Q91" i="37"/>
  <c r="T105" i="37"/>
  <c r="S105" i="37"/>
  <c r="R105" i="37"/>
  <c r="Q105" i="37"/>
  <c r="T90" i="37"/>
  <c r="S90" i="37"/>
  <c r="R90" i="37"/>
  <c r="Q90" i="37"/>
  <c r="T89" i="37"/>
  <c r="S89" i="37"/>
  <c r="R89" i="37"/>
  <c r="Q89" i="37"/>
  <c r="T88" i="37"/>
  <c r="S88" i="37"/>
  <c r="R88" i="37"/>
  <c r="Q88" i="37"/>
  <c r="T87" i="37"/>
  <c r="S87" i="37"/>
  <c r="R87" i="37"/>
  <c r="Q87" i="37"/>
  <c r="T86" i="37"/>
  <c r="S86" i="37"/>
  <c r="R86" i="37"/>
  <c r="Q86" i="37"/>
  <c r="T85" i="37"/>
  <c r="S85" i="37"/>
  <c r="R85" i="37"/>
  <c r="Q85" i="37"/>
  <c r="T84" i="37"/>
  <c r="S84" i="37"/>
  <c r="R84" i="37"/>
  <c r="Q84" i="37"/>
  <c r="T83" i="37"/>
  <c r="S83" i="37"/>
  <c r="R83" i="37"/>
  <c r="Q83" i="37"/>
  <c r="T82" i="37"/>
  <c r="S82" i="37"/>
  <c r="R82" i="37"/>
  <c r="Q82" i="37"/>
  <c r="T81" i="37"/>
  <c r="S81" i="37"/>
  <c r="R81" i="37"/>
  <c r="Q81" i="37"/>
  <c r="T80" i="37"/>
  <c r="S80" i="37"/>
  <c r="R80" i="37"/>
  <c r="Q80" i="37"/>
  <c r="T79" i="37"/>
  <c r="S79" i="37"/>
  <c r="R79" i="37"/>
  <c r="Q79" i="37"/>
  <c r="T78" i="37"/>
  <c r="S78" i="37"/>
  <c r="R78" i="37"/>
  <c r="Q78" i="37"/>
  <c r="T77" i="37"/>
  <c r="S77" i="37"/>
  <c r="R77" i="37"/>
  <c r="Q77" i="37"/>
  <c r="T76" i="37"/>
  <c r="S76" i="37"/>
  <c r="R76" i="37"/>
  <c r="Q76" i="37"/>
  <c r="T75" i="37"/>
  <c r="S75" i="37"/>
  <c r="R75" i="37"/>
  <c r="Q75" i="37"/>
  <c r="T73" i="37"/>
  <c r="S73" i="37"/>
  <c r="R73" i="37"/>
  <c r="Q73" i="37"/>
  <c r="T72" i="37"/>
  <c r="S72" i="37"/>
  <c r="R72" i="37"/>
  <c r="Q72" i="37"/>
  <c r="T71" i="37"/>
  <c r="S71" i="37"/>
  <c r="R71" i="37"/>
  <c r="Q71" i="37"/>
  <c r="T54" i="37"/>
  <c r="S54" i="37"/>
  <c r="R54" i="37"/>
  <c r="Q54" i="37"/>
  <c r="T53" i="37"/>
  <c r="S53" i="37"/>
  <c r="R53" i="37"/>
  <c r="Q53" i="37"/>
  <c r="T52" i="37"/>
  <c r="S52" i="37"/>
  <c r="R52" i="37"/>
  <c r="Q52" i="37"/>
  <c r="T51" i="37"/>
  <c r="S51" i="37"/>
  <c r="R51" i="37"/>
  <c r="Q51" i="37"/>
  <c r="T50" i="37"/>
  <c r="S50" i="37"/>
  <c r="R50" i="37"/>
  <c r="Q50" i="37"/>
  <c r="T49" i="37"/>
  <c r="S49" i="37"/>
  <c r="R49" i="37"/>
  <c r="Q49" i="37"/>
  <c r="T48" i="37"/>
  <c r="S48" i="37"/>
  <c r="R48" i="37"/>
  <c r="Q48" i="37"/>
  <c r="T47" i="37"/>
  <c r="S47" i="37"/>
  <c r="R47" i="37"/>
  <c r="Q47" i="37"/>
  <c r="T46" i="37"/>
  <c r="S46" i="37"/>
  <c r="R46" i="37"/>
  <c r="Q46" i="37"/>
  <c r="T45" i="37"/>
  <c r="S45" i="37"/>
  <c r="R45" i="37"/>
  <c r="Q45" i="37"/>
  <c r="T44" i="37"/>
  <c r="S44" i="37"/>
  <c r="R44" i="37"/>
  <c r="Q44" i="37"/>
  <c r="T43" i="37"/>
  <c r="S43" i="37"/>
  <c r="R43" i="37"/>
  <c r="Q43" i="37"/>
  <c r="T42" i="37"/>
  <c r="S42" i="37"/>
  <c r="R42" i="37"/>
  <c r="Q42" i="37"/>
  <c r="T41" i="37"/>
  <c r="S41" i="37"/>
  <c r="R41" i="37"/>
  <c r="Q41" i="37"/>
  <c r="T40" i="37"/>
  <c r="S40" i="37"/>
  <c r="R40" i="37"/>
  <c r="Q40" i="37"/>
  <c r="T39" i="37"/>
  <c r="S39" i="37"/>
  <c r="R39" i="37"/>
  <c r="Q39" i="37"/>
  <c r="T38" i="37"/>
  <c r="S38" i="37"/>
  <c r="R38" i="37"/>
  <c r="Q38" i="37"/>
  <c r="T37" i="37"/>
  <c r="S37" i="37"/>
  <c r="R37" i="37"/>
  <c r="Q37" i="37"/>
  <c r="T36" i="37"/>
  <c r="S36" i="37"/>
  <c r="R36" i="37"/>
  <c r="Q36" i="37"/>
  <c r="T35" i="37"/>
  <c r="S35" i="37"/>
  <c r="R35" i="37"/>
  <c r="Q35" i="37"/>
  <c r="T34" i="37"/>
  <c r="S34" i="37"/>
  <c r="R34" i="37"/>
  <c r="Q34" i="37"/>
  <c r="T33" i="37"/>
  <c r="S33" i="37"/>
  <c r="R33" i="37"/>
  <c r="Q33" i="37"/>
  <c r="T32" i="37"/>
  <c r="S32" i="37"/>
  <c r="R32" i="37"/>
  <c r="Q32" i="37"/>
  <c r="T31" i="37"/>
  <c r="S31" i="37"/>
  <c r="R31" i="37"/>
  <c r="Q31" i="37"/>
  <c r="T30" i="37"/>
  <c r="S30" i="37"/>
  <c r="R30" i="37"/>
  <c r="Q30" i="37"/>
  <c r="T29" i="37"/>
  <c r="S29" i="37"/>
  <c r="R29" i="37"/>
  <c r="Q29" i="37"/>
  <c r="Q60" i="54"/>
  <c r="P60" i="54"/>
  <c r="M60" i="54"/>
  <c r="L60" i="54" a="1"/>
  <c r="L60" i="54" s="1"/>
  <c r="K60" i="54"/>
  <c r="U60" i="54" s="1" a="1"/>
  <c r="U60" i="54" s="1"/>
  <c r="Q59" i="54"/>
  <c r="M59" i="54"/>
  <c r="P59" i="54" s="1"/>
  <c r="L59" i="54" a="1"/>
  <c r="L59" i="54" s="1"/>
  <c r="K59" i="54"/>
  <c r="U59" i="54" s="1" a="1"/>
  <c r="U59" i="54" s="1"/>
  <c r="Q58" i="54"/>
  <c r="M58" i="54"/>
  <c r="P58" i="54" s="1"/>
  <c r="L58" i="54" a="1"/>
  <c r="L58" i="54" s="1"/>
  <c r="K58" i="54"/>
  <c r="T58" i="54" s="1"/>
  <c r="X58" i="54" s="1"/>
  <c r="Q57" i="54"/>
  <c r="M57" i="54"/>
  <c r="P57" i="54" s="1"/>
  <c r="L57" i="54" a="1"/>
  <c r="L57" i="54" s="1"/>
  <c r="K57" i="54"/>
  <c r="U57" i="54" s="1" a="1"/>
  <c r="U57" i="54" s="1"/>
  <c r="Q56" i="54"/>
  <c r="O56" i="54"/>
  <c r="M56" i="54"/>
  <c r="P56" i="54" s="1"/>
  <c r="L56" i="54" a="1"/>
  <c r="L56" i="54" s="1"/>
  <c r="K56" i="54"/>
  <c r="U56" i="54" s="1" a="1"/>
  <c r="U56" i="54" s="1"/>
  <c r="Q55" i="54"/>
  <c r="M55" i="54"/>
  <c r="P55" i="54" s="1"/>
  <c r="L55" i="54" a="1"/>
  <c r="L55" i="54" s="1"/>
  <c r="K55" i="54"/>
  <c r="O55" i="54" s="1"/>
  <c r="Q54" i="54"/>
  <c r="M54" i="54"/>
  <c r="P54" i="54" s="1"/>
  <c r="L54" i="54" a="1"/>
  <c r="L54" i="54" s="1"/>
  <c r="K54" i="54"/>
  <c r="T54" i="54" s="1"/>
  <c r="X54" i="54" s="1"/>
  <c r="Q53" i="54"/>
  <c r="M53" i="54"/>
  <c r="P53" i="54" s="1"/>
  <c r="L53" i="54" a="1"/>
  <c r="L53" i="54" s="1"/>
  <c r="K53" i="54"/>
  <c r="T53" i="54" s="1"/>
  <c r="Q52" i="54"/>
  <c r="O52" i="54"/>
  <c r="M52" i="54"/>
  <c r="P52" i="54" s="1"/>
  <c r="L52" i="54" a="1"/>
  <c r="L52" i="54" s="1"/>
  <c r="K52" i="54"/>
  <c r="U52" i="54" s="1" a="1"/>
  <c r="U52" i="54" s="1"/>
  <c r="Q51" i="54"/>
  <c r="M51" i="54"/>
  <c r="P51" i="54" s="1"/>
  <c r="L51" i="54" a="1"/>
  <c r="L51" i="54" s="1"/>
  <c r="K51" i="54"/>
  <c r="O51" i="54" s="1"/>
  <c r="Q50" i="54"/>
  <c r="P50" i="54"/>
  <c r="M50" i="54"/>
  <c r="L50" i="54" a="1"/>
  <c r="L50" i="54" s="1"/>
  <c r="K50" i="54"/>
  <c r="T50" i="54" s="1"/>
  <c r="X50" i="54" s="1"/>
  <c r="Q49" i="54"/>
  <c r="P49" i="54"/>
  <c r="M49" i="54"/>
  <c r="L49" i="54" a="1"/>
  <c r="L49" i="54" s="1"/>
  <c r="K49" i="54"/>
  <c r="U49" i="54" s="1" a="1"/>
  <c r="U49" i="54" s="1"/>
  <c r="Q48" i="54"/>
  <c r="P48" i="54"/>
  <c r="M48" i="54"/>
  <c r="L48" i="54" a="1"/>
  <c r="L48" i="54" s="1"/>
  <c r="K48" i="54"/>
  <c r="U48" i="54" s="1" a="1"/>
  <c r="U48" i="54" s="1"/>
  <c r="Q47" i="54"/>
  <c r="M47" i="54"/>
  <c r="P47" i="54" s="1"/>
  <c r="L47" i="54" a="1"/>
  <c r="L47" i="54" s="1"/>
  <c r="K47" i="54"/>
  <c r="O47" i="54" s="1"/>
  <c r="Q46" i="54"/>
  <c r="M46" i="54"/>
  <c r="P46" i="54" s="1"/>
  <c r="L46" i="54" a="1"/>
  <c r="L46" i="54" s="1"/>
  <c r="K46" i="54"/>
  <c r="T46" i="54" s="1"/>
  <c r="X46" i="54" s="1"/>
  <c r="Q45" i="54"/>
  <c r="P45" i="54"/>
  <c r="M45" i="54"/>
  <c r="L45" i="54" a="1"/>
  <c r="L45" i="54" s="1"/>
  <c r="K45" i="54"/>
  <c r="T45" i="54" s="1"/>
  <c r="Q44" i="54"/>
  <c r="M44" i="54"/>
  <c r="P44" i="54" s="1"/>
  <c r="L44" i="54" a="1"/>
  <c r="L44" i="54" s="1"/>
  <c r="K44" i="54"/>
  <c r="U44" i="54" s="1" a="1"/>
  <c r="U44" i="54" s="1"/>
  <c r="Q43" i="54"/>
  <c r="M43" i="54"/>
  <c r="P43" i="54" s="1"/>
  <c r="L43" i="54" a="1"/>
  <c r="L43" i="54" s="1"/>
  <c r="K43" i="54"/>
  <c r="U43" i="54" s="1" a="1"/>
  <c r="U43" i="54" s="1"/>
  <c r="Q42" i="54"/>
  <c r="M42" i="54"/>
  <c r="P42" i="54" s="1"/>
  <c r="L42" i="54" a="1"/>
  <c r="L42" i="54" s="1"/>
  <c r="K42" i="54"/>
  <c r="T42" i="54" s="1"/>
  <c r="X42" i="54" s="1"/>
  <c r="Q41" i="54"/>
  <c r="M41" i="54"/>
  <c r="P41" i="54" s="1"/>
  <c r="L41" i="54" a="1"/>
  <c r="L41" i="54" s="1"/>
  <c r="K41" i="54"/>
  <c r="O41" i="54" s="1"/>
  <c r="Q40" i="54"/>
  <c r="P40" i="54"/>
  <c r="M40" i="54"/>
  <c r="L40" i="54" a="1"/>
  <c r="L40" i="54" s="1"/>
  <c r="K40" i="54"/>
  <c r="T40" i="54" s="1"/>
  <c r="Q39" i="54"/>
  <c r="M39" i="54"/>
  <c r="P39" i="54" s="1"/>
  <c r="L39" i="54" a="1"/>
  <c r="L39" i="54" s="1"/>
  <c r="K39" i="54"/>
  <c r="T39" i="54" s="1"/>
  <c r="Q38" i="54"/>
  <c r="P38" i="54"/>
  <c r="M38" i="54"/>
  <c r="L38" i="54" a="1"/>
  <c r="L38" i="54" s="1"/>
  <c r="K38" i="54"/>
  <c r="T38" i="54" s="1"/>
  <c r="X38" i="54" s="1"/>
  <c r="Q37" i="54"/>
  <c r="M37" i="54"/>
  <c r="P37" i="54" s="1"/>
  <c r="L37" i="54" a="1"/>
  <c r="L37" i="54" s="1"/>
  <c r="K37" i="54"/>
  <c r="O37" i="54" s="1"/>
  <c r="Q36" i="54"/>
  <c r="M36" i="54"/>
  <c r="P36" i="54" s="1"/>
  <c r="L36" i="54" a="1"/>
  <c r="L36" i="54" s="1"/>
  <c r="K36" i="54"/>
  <c r="U36" i="54" s="1" a="1"/>
  <c r="U36" i="54" s="1"/>
  <c r="Q35" i="54"/>
  <c r="M35" i="54"/>
  <c r="P35" i="54" s="1"/>
  <c r="L35" i="54" a="1"/>
  <c r="L35" i="54" s="1"/>
  <c r="K35" i="54"/>
  <c r="U35" i="54" s="1" a="1"/>
  <c r="U35" i="54" s="1"/>
  <c r="Q34" i="54"/>
  <c r="M34" i="54"/>
  <c r="P34" i="54" s="1"/>
  <c r="L34" i="54" a="1"/>
  <c r="L34" i="54" s="1"/>
  <c r="K34" i="54"/>
  <c r="T34" i="54" s="1"/>
  <c r="X34" i="54" s="1"/>
  <c r="Q33" i="54"/>
  <c r="M33" i="54"/>
  <c r="P33" i="54" s="1"/>
  <c r="L33" i="54" a="1"/>
  <c r="L33" i="54" s="1"/>
  <c r="K33" i="54"/>
  <c r="T33" i="54" s="1"/>
  <c r="Q32" i="54"/>
  <c r="L32" i="54" a="1"/>
  <c r="L32" i="54" s="1"/>
  <c r="K32" i="54"/>
  <c r="T32" i="54" s="1"/>
  <c r="K31" i="54"/>
  <c r="U31" i="54" s="1" a="1"/>
  <c r="U31" i="54" s="1"/>
  <c r="K61" i="48"/>
  <c r="U61" i="48" s="1" a="1"/>
  <c r="U61" i="48" s="1"/>
  <c r="Q61" i="48"/>
  <c r="K60" i="48"/>
  <c r="M60" i="48" s="1"/>
  <c r="P60" i="48" s="1"/>
  <c r="L60" i="48" a="1"/>
  <c r="L60" i="48" s="1"/>
  <c r="Q59" i="48"/>
  <c r="L59" i="48" a="1"/>
  <c r="L59" i="48" s="1"/>
  <c r="K59" i="48"/>
  <c r="M59" i="48" s="1"/>
  <c r="P59" i="48" s="1"/>
  <c r="O58" i="48"/>
  <c r="K58" i="48"/>
  <c r="U58" i="48" s="1" a="1"/>
  <c r="U58" i="48" s="1"/>
  <c r="K57" i="48"/>
  <c r="T57" i="48" s="1"/>
  <c r="X57" i="48" s="1"/>
  <c r="L57" i="48" a="1"/>
  <c r="L57" i="48" s="1"/>
  <c r="M57" i="48" s="1"/>
  <c r="P57" i="48" s="1"/>
  <c r="O56" i="48"/>
  <c r="K56" i="48"/>
  <c r="T56" i="48" s="1"/>
  <c r="X56" i="48" s="1"/>
  <c r="L56" i="48" a="1"/>
  <c r="L56" i="48" s="1"/>
  <c r="K55" i="48"/>
  <c r="T55" i="48" s="1"/>
  <c r="L55" i="48" a="1"/>
  <c r="L55" i="48" s="1"/>
  <c r="K54" i="48"/>
  <c r="T54" i="48" s="1"/>
  <c r="Q53" i="48"/>
  <c r="K53" i="48"/>
  <c r="T53" i="48" s="1"/>
  <c r="X53" i="48" s="1"/>
  <c r="L53" i="48" a="1"/>
  <c r="L53" i="48" s="1"/>
  <c r="K52" i="48"/>
  <c r="O52" i="48" s="1"/>
  <c r="L52" i="48" a="1"/>
  <c r="L52" i="48" s="1"/>
  <c r="Q51" i="48"/>
  <c r="K51" i="48"/>
  <c r="M51" i="48" s="1"/>
  <c r="P51" i="48" s="1"/>
  <c r="L51" i="48" a="1"/>
  <c r="L51" i="48" s="1"/>
  <c r="O50" i="48"/>
  <c r="L50" i="48" a="1"/>
  <c r="L50" i="48" s="1"/>
  <c r="K50" i="48"/>
  <c r="U50" i="48" s="1" a="1"/>
  <c r="U50" i="48" s="1"/>
  <c r="K49" i="48"/>
  <c r="T49" i="48" s="1"/>
  <c r="X49" i="48" s="1"/>
  <c r="L49" i="48" a="1"/>
  <c r="L49" i="48" s="1"/>
  <c r="K48" i="48"/>
  <c r="T48" i="48" s="1"/>
  <c r="X48" i="48" s="1"/>
  <c r="L48" i="48" a="1"/>
  <c r="L48" i="48" s="1"/>
  <c r="K47" i="48"/>
  <c r="M47" i="48" s="1"/>
  <c r="P47" i="48" s="1"/>
  <c r="L47" i="48" a="1"/>
  <c r="L47" i="48" s="1"/>
  <c r="O46" i="48"/>
  <c r="K46" i="48"/>
  <c r="T46" i="48" s="1"/>
  <c r="Q45" i="48"/>
  <c r="K45" i="48"/>
  <c r="O45" i="48" s="1"/>
  <c r="L45" i="48" a="1"/>
  <c r="L45" i="48" s="1"/>
  <c r="K44" i="48"/>
  <c r="T44" i="48" s="1"/>
  <c r="L44" i="48" a="1"/>
  <c r="L44" i="48" s="1"/>
  <c r="Q43" i="48"/>
  <c r="K43" i="48"/>
  <c r="T43" i="48" s="1"/>
  <c r="V43" i="48" s="1"/>
  <c r="W43" i="48" s="1"/>
  <c r="Y43" i="48" s="1"/>
  <c r="L43" i="48" a="1"/>
  <c r="L43" i="48" s="1"/>
  <c r="L42" i="48" a="1"/>
  <c r="L42" i="48" s="1"/>
  <c r="K42" i="48"/>
  <c r="U42" i="48" s="1" a="1"/>
  <c r="U42" i="48" s="1"/>
  <c r="K41" i="48"/>
  <c r="T41" i="48" s="1"/>
  <c r="X41" i="48" s="1"/>
  <c r="L41" i="48" a="1"/>
  <c r="L41" i="48" s="1"/>
  <c r="K40" i="48"/>
  <c r="M40" i="48" s="1"/>
  <c r="P40" i="48" s="1"/>
  <c r="L40" i="48" a="1"/>
  <c r="L40" i="48" s="1"/>
  <c r="K39" i="48"/>
  <c r="T39" i="48" s="1"/>
  <c r="L39" i="48" a="1"/>
  <c r="L39" i="48" s="1"/>
  <c r="M39" i="48" s="1"/>
  <c r="P39" i="48" s="1"/>
  <c r="K38" i="48"/>
  <c r="O38" i="48" s="1"/>
  <c r="K37" i="48"/>
  <c r="U37" i="48" s="1" a="1"/>
  <c r="U37" i="48" s="1"/>
  <c r="L37" i="48" a="1"/>
  <c r="L37" i="48" s="1"/>
  <c r="M37" i="48" s="1"/>
  <c r="P37" i="48" s="1"/>
  <c r="K36" i="48"/>
  <c r="T36" i="48" s="1"/>
  <c r="L36" i="48" a="1"/>
  <c r="L36" i="48" s="1"/>
  <c r="K35" i="48"/>
  <c r="U35" i="48" s="1" a="1"/>
  <c r="U35" i="48" s="1"/>
  <c r="L35" i="48" a="1"/>
  <c r="L35" i="48" s="1"/>
  <c r="M35" i="48" s="1"/>
  <c r="P35" i="48" s="1"/>
  <c r="L34" i="48" a="1"/>
  <c r="L34" i="48" s="1"/>
  <c r="M34" i="48" s="1"/>
  <c r="P34" i="48" s="1"/>
  <c r="O34" i="48"/>
  <c r="K33" i="48"/>
  <c r="T33" i="48" s="1"/>
  <c r="L33" i="48" a="1"/>
  <c r="L33" i="48" s="1"/>
  <c r="K32" i="48"/>
  <c r="O32" i="48" s="1"/>
  <c r="BA16" i="17"/>
  <c r="BA15" i="17"/>
  <c r="BA14" i="17"/>
  <c r="BA13" i="17"/>
  <c r="BA12" i="17"/>
  <c r="BA11" i="17"/>
  <c r="BA10" i="17"/>
  <c r="BA9" i="17"/>
  <c r="BA8" i="17"/>
  <c r="BA7" i="17"/>
  <c r="BA6" i="17"/>
  <c r="BA5" i="17"/>
  <c r="BA4" i="17"/>
  <c r="BA32" i="17"/>
  <c r="BA31" i="17"/>
  <c r="BA29" i="17"/>
  <c r="BA28" i="17"/>
  <c r="BA27" i="17"/>
  <c r="BA26" i="17"/>
  <c r="BA25" i="17"/>
  <c r="BA24" i="17"/>
  <c r="BA23" i="17"/>
  <c r="BA22" i="17"/>
  <c r="BA21" i="17"/>
  <c r="BA20" i="17"/>
  <c r="BA19" i="17"/>
  <c r="BA18" i="17"/>
  <c r="BA17" i="17"/>
  <c r="BA3" i="17"/>
  <c r="S60" i="53"/>
  <c r="R60" i="53"/>
  <c r="N60" i="53" a="1"/>
  <c r="N60" i="53" s="1"/>
  <c r="M60" i="53"/>
  <c r="V60" i="53" s="1"/>
  <c r="Z60" i="53" s="1"/>
  <c r="S59" i="53"/>
  <c r="R59" i="53"/>
  <c r="N59" i="53" a="1"/>
  <c r="N59" i="53" s="1"/>
  <c r="M59" i="53"/>
  <c r="V59" i="53" s="1"/>
  <c r="Z59" i="53" s="1"/>
  <c r="S58" i="53"/>
  <c r="R58" i="53"/>
  <c r="N58" i="53" a="1"/>
  <c r="N58" i="53" s="1"/>
  <c r="M58" i="53"/>
  <c r="V58" i="53" s="1"/>
  <c r="Z58" i="53" s="1"/>
  <c r="S57" i="53"/>
  <c r="R57" i="53"/>
  <c r="Q57" i="53"/>
  <c r="N57" i="53" a="1"/>
  <c r="N57" i="53" s="1"/>
  <c r="M57" i="53"/>
  <c r="O57" i="53" s="1"/>
  <c r="S56" i="53"/>
  <c r="R56" i="53"/>
  <c r="Q56" i="53"/>
  <c r="N56" i="53" a="1"/>
  <c r="N56" i="53" s="1"/>
  <c r="X56" i="53" s="1"/>
  <c r="Y56" i="53" s="1"/>
  <c r="M56" i="53"/>
  <c r="O56" i="53" s="1"/>
  <c r="S55" i="53"/>
  <c r="R55" i="53"/>
  <c r="N55" i="53" a="1"/>
  <c r="N55" i="53" s="1"/>
  <c r="M55" i="53"/>
  <c r="V55" i="53" s="1"/>
  <c r="Z55" i="53" s="1"/>
  <c r="S54" i="53"/>
  <c r="R54" i="53"/>
  <c r="N54" i="53" a="1"/>
  <c r="N54" i="53" s="1"/>
  <c r="M54" i="53"/>
  <c r="V54" i="53" s="1"/>
  <c r="Z54" i="53" s="1"/>
  <c r="S53" i="53"/>
  <c r="R53" i="53"/>
  <c r="N53" i="53" a="1"/>
  <c r="N53" i="53" s="1"/>
  <c r="M53" i="53"/>
  <c r="V53" i="53" s="1"/>
  <c r="Z53" i="53" s="1"/>
  <c r="S52" i="53"/>
  <c r="R52" i="53"/>
  <c r="Q52" i="53"/>
  <c r="N52" i="53" a="1"/>
  <c r="N52" i="53" s="1"/>
  <c r="M52" i="53"/>
  <c r="X52" i="53" s="1"/>
  <c r="Y52" i="53" s="1"/>
  <c r="S51" i="53"/>
  <c r="R51" i="53"/>
  <c r="N51" i="53" a="1"/>
  <c r="N51" i="53" s="1"/>
  <c r="M51" i="53"/>
  <c r="O51" i="53" s="1"/>
  <c r="S50" i="53"/>
  <c r="R50" i="53"/>
  <c r="Q50" i="53"/>
  <c r="N50" i="53" a="1"/>
  <c r="N50" i="53" s="1"/>
  <c r="M50" i="53"/>
  <c r="V50" i="53" s="1"/>
  <c r="Z50" i="53" s="1"/>
  <c r="S49" i="53"/>
  <c r="R49" i="53"/>
  <c r="Q49" i="53"/>
  <c r="N49" i="53" a="1"/>
  <c r="N49" i="53" s="1"/>
  <c r="X49" i="53" s="1"/>
  <c r="Y49" i="53" s="1"/>
  <c r="M49" i="53"/>
  <c r="O49" i="53" s="1"/>
  <c r="M48" i="53"/>
  <c r="Q48" i="53" s="1"/>
  <c r="M47" i="53"/>
  <c r="O47" i="53" s="1"/>
  <c r="M46" i="53"/>
  <c r="V46" i="53" s="1"/>
  <c r="Z46" i="53" s="1"/>
  <c r="M45" i="53"/>
  <c r="V45" i="53" s="1"/>
  <c r="Z45" i="53" s="1"/>
  <c r="M44" i="53"/>
  <c r="Q44" i="53" s="1"/>
  <c r="M43" i="53"/>
  <c r="Q43" i="53" s="1"/>
  <c r="M42" i="53"/>
  <c r="V42" i="53" s="1"/>
  <c r="Z42" i="53" s="1"/>
  <c r="M41" i="53"/>
  <c r="V41" i="53" s="1"/>
  <c r="Z41" i="53" s="1"/>
  <c r="M40" i="53"/>
  <c r="X40" i="53" s="1"/>
  <c r="Y40" i="53" s="1"/>
  <c r="M39" i="53"/>
  <c r="Q39" i="53" s="1"/>
  <c r="M38" i="53"/>
  <c r="V38" i="53" s="1"/>
  <c r="Z38" i="53" s="1"/>
  <c r="M37" i="53"/>
  <c r="V37" i="53" s="1"/>
  <c r="Z37" i="53" s="1"/>
  <c r="M36" i="53"/>
  <c r="Q36" i="53" s="1"/>
  <c r="M35" i="53"/>
  <c r="V35" i="53" s="1"/>
  <c r="Z35" i="53" s="1"/>
  <c r="M34" i="53"/>
  <c r="V34" i="53" s="1"/>
  <c r="Z34" i="53" s="1"/>
  <c r="M33" i="53"/>
  <c r="V33" i="53" s="1"/>
  <c r="Z33" i="53" s="1"/>
  <c r="M32" i="53"/>
  <c r="M31" i="53"/>
  <c r="Q31" i="53" s="1"/>
  <c r="U39" i="48" a="1"/>
  <c r="U39" i="48" s="1"/>
  <c r="T38" i="48"/>
  <c r="X38" i="48" s="1"/>
  <c r="T34" i="48"/>
  <c r="X34" i="48" s="1"/>
  <c r="Q41" i="53"/>
  <c r="Q45" i="53"/>
  <c r="Q37" i="53"/>
  <c r="Q51" i="53"/>
  <c r="Q59" i="53"/>
  <c r="Q46" i="53"/>
  <c r="Q54" i="53"/>
  <c r="O55" i="48"/>
  <c r="O43" i="48"/>
  <c r="O61" i="48"/>
  <c r="O51" i="48"/>
  <c r="T51" i="48"/>
  <c r="V51" i="48" s="1"/>
  <c r="W51" i="48" s="1"/>
  <c r="Y51" i="48" s="1"/>
  <c r="O39" i="48"/>
  <c r="O37" i="48"/>
  <c r="T37" i="48"/>
  <c r="O49" i="48"/>
  <c r="O47" i="48"/>
  <c r="T47" i="48"/>
  <c r="O57" i="48"/>
  <c r="L38" i="48" a="1"/>
  <c r="L38" i="48" s="1"/>
  <c r="M38" i="48" s="1"/>
  <c r="P38" i="48" s="1"/>
  <c r="L46" i="48" a="1"/>
  <c r="L46" i="48" s="1"/>
  <c r="Q47" i="48"/>
  <c r="L54" i="48" a="1"/>
  <c r="L54" i="48" s="1"/>
  <c r="Q55" i="48"/>
  <c r="Q41" i="48"/>
  <c r="Q49" i="48"/>
  <c r="Q57" i="48"/>
  <c r="L58" i="48" a="1"/>
  <c r="L58" i="48" s="1"/>
  <c r="L61" i="48" a="1"/>
  <c r="L61" i="48" s="1"/>
  <c r="Q42" i="48"/>
  <c r="Q46" i="48"/>
  <c r="Q50" i="48"/>
  <c r="Q54" i="48"/>
  <c r="Q58" i="48"/>
  <c r="Q40" i="48"/>
  <c r="Q44" i="48"/>
  <c r="Q48" i="48"/>
  <c r="Q52" i="48"/>
  <c r="Q56" i="48"/>
  <c r="Q60" i="48"/>
  <c r="V39" i="48"/>
  <c r="W39" i="48"/>
  <c r="Y39" i="48" s="1"/>
  <c r="X39" i="48"/>
  <c r="M52" i="43"/>
  <c r="L52" i="43"/>
  <c r="M51" i="43"/>
  <c r="L51" i="43"/>
  <c r="M50" i="43"/>
  <c r="L50" i="43"/>
  <c r="M49" i="43"/>
  <c r="L49" i="43"/>
  <c r="M48" i="43"/>
  <c r="L48" i="43"/>
  <c r="M47" i="43"/>
  <c r="L47" i="43"/>
  <c r="M46" i="43"/>
  <c r="L46" i="43"/>
  <c r="M45" i="43"/>
  <c r="L45" i="43"/>
  <c r="M44" i="43"/>
  <c r="L44" i="43"/>
  <c r="M43" i="43"/>
  <c r="L43" i="43"/>
  <c r="M42" i="43"/>
  <c r="L42" i="43"/>
  <c r="M41" i="43"/>
  <c r="L41" i="43"/>
  <c r="M40" i="43"/>
  <c r="L40" i="43"/>
  <c r="M39" i="43"/>
  <c r="L39" i="43"/>
  <c r="L38" i="43"/>
  <c r="M37" i="43"/>
  <c r="L37" i="43"/>
  <c r="M36" i="43"/>
  <c r="L36" i="43"/>
  <c r="K31" i="48"/>
  <c r="N60" i="46" a="1"/>
  <c r="N60" i="46" s="1"/>
  <c r="N59" i="46" a="1"/>
  <c r="N59" i="46" s="1"/>
  <c r="N58" i="46" a="1"/>
  <c r="N58" i="46" s="1"/>
  <c r="N49" i="46" a="1"/>
  <c r="N49" i="46" s="1"/>
  <c r="L32" i="48" a="1"/>
  <c r="L32" i="48" s="1"/>
  <c r="L31" i="54" a="1"/>
  <c r="L31" i="54" s="1"/>
  <c r="F314" i="37"/>
  <c r="F313" i="37"/>
  <c r="F312" i="37"/>
  <c r="F311" i="37"/>
  <c r="F310" i="37"/>
  <c r="F309" i="37"/>
  <c r="F308" i="37"/>
  <c r="F307" i="37"/>
  <c r="F306" i="37"/>
  <c r="F305" i="37"/>
  <c r="F304" i="37"/>
  <c r="F303" i="37"/>
  <c r="F302" i="37"/>
  <c r="F301" i="37"/>
  <c r="F300" i="37"/>
  <c r="F299" i="37"/>
  <c r="F298" i="37"/>
  <c r="F297" i="37"/>
  <c r="F296" i="37"/>
  <c r="F295" i="37"/>
  <c r="F294" i="37"/>
  <c r="F293" i="37"/>
  <c r="F292" i="37"/>
  <c r="F291" i="37"/>
  <c r="F290" i="37"/>
  <c r="F289" i="37"/>
  <c r="F288" i="37"/>
  <c r="F287" i="37"/>
  <c r="F286" i="37"/>
  <c r="F285" i="37"/>
  <c r="F284" i="37"/>
  <c r="F283" i="37"/>
  <c r="F282" i="37"/>
  <c r="F281" i="37"/>
  <c r="F280" i="37"/>
  <c r="F279" i="37"/>
  <c r="F278" i="37"/>
  <c r="F277" i="37"/>
  <c r="F276" i="37"/>
  <c r="F275" i="37"/>
  <c r="F274" i="37"/>
  <c r="F273" i="37"/>
  <c r="F272" i="37"/>
  <c r="F271" i="37"/>
  <c r="F270" i="37"/>
  <c r="F269" i="37"/>
  <c r="F268" i="37"/>
  <c r="F267" i="37"/>
  <c r="F28" i="37"/>
  <c r="F27" i="37"/>
  <c r="F26" i="37"/>
  <c r="F25" i="37"/>
  <c r="F24" i="37"/>
  <c r="F23" i="37"/>
  <c r="F22" i="37"/>
  <c r="F21" i="37"/>
  <c r="F20" i="37"/>
  <c r="F19" i="37"/>
  <c r="F18" i="37"/>
  <c r="F324" i="37"/>
  <c r="F259" i="37"/>
  <c r="F255" i="37"/>
  <c r="F251" i="37"/>
  <c r="F247" i="37"/>
  <c r="F243" i="37"/>
  <c r="F239" i="37"/>
  <c r="F254" i="37"/>
  <c r="F253" i="37"/>
  <c r="F252" i="37"/>
  <c r="F250" i="37"/>
  <c r="F249" i="37"/>
  <c r="F248" i="37"/>
  <c r="F246" i="37"/>
  <c r="F245" i="37"/>
  <c r="F244" i="37"/>
  <c r="F242" i="37"/>
  <c r="F241" i="37"/>
  <c r="F240" i="37"/>
  <c r="F238" i="37"/>
  <c r="F235" i="37"/>
  <c r="F234" i="37"/>
  <c r="F233" i="37"/>
  <c r="F232"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8" i="37"/>
  <c r="F197" i="37"/>
  <c r="F196" i="37"/>
  <c r="S60" i="46"/>
  <c r="M60" i="46"/>
  <c r="V60" i="46" s="1"/>
  <c r="Z60" i="46" s="1"/>
  <c r="S59" i="46"/>
  <c r="M59" i="46"/>
  <c r="X59" i="46" s="1"/>
  <c r="Y59" i="46" s="1"/>
  <c r="AA59" i="46" s="1"/>
  <c r="S58" i="46"/>
  <c r="M58" i="46"/>
  <c r="V58" i="46" s="1"/>
  <c r="Z58" i="46" s="1"/>
  <c r="M57" i="46"/>
  <c r="V57" i="46" s="1"/>
  <c r="Z57" i="46" s="1"/>
  <c r="M56" i="46"/>
  <c r="V56" i="46" s="1"/>
  <c r="Z56" i="46" s="1"/>
  <c r="M55" i="46"/>
  <c r="V55" i="46" s="1"/>
  <c r="Z55" i="46" s="1"/>
  <c r="M54" i="46"/>
  <c r="V54" i="46" s="1"/>
  <c r="Z54" i="46" s="1"/>
  <c r="M53" i="46"/>
  <c r="M52" i="46"/>
  <c r="V52" i="46" s="1"/>
  <c r="Z52" i="46" s="1"/>
  <c r="M51" i="46"/>
  <c r="V51" i="46" s="1"/>
  <c r="Z51" i="46" s="1"/>
  <c r="M50" i="46"/>
  <c r="V50" i="46" s="1"/>
  <c r="Z50" i="46" s="1"/>
  <c r="M49" i="46"/>
  <c r="V49" i="46" s="1"/>
  <c r="Z49" i="46" s="1"/>
  <c r="M48" i="46"/>
  <c r="V48" i="46" s="1"/>
  <c r="Z48" i="46" s="1"/>
  <c r="M47" i="46"/>
  <c r="V47" i="46" s="1"/>
  <c r="Z47" i="46" s="1"/>
  <c r="M46" i="46"/>
  <c r="V46" i="46" s="1"/>
  <c r="Z46" i="46" s="1"/>
  <c r="M45" i="46"/>
  <c r="V45" i="46" s="1"/>
  <c r="Z45" i="46" s="1"/>
  <c r="M44" i="46"/>
  <c r="V44" i="46" s="1"/>
  <c r="Z44" i="46" s="1"/>
  <c r="M43" i="46"/>
  <c r="V43" i="46" s="1"/>
  <c r="Z43" i="46" s="1"/>
  <c r="M42" i="46"/>
  <c r="V42" i="46" s="1"/>
  <c r="Z42" i="46" s="1"/>
  <c r="M41" i="46"/>
  <c r="V41" i="46" s="1"/>
  <c r="Z41" i="46" s="1"/>
  <c r="M40" i="46"/>
  <c r="V40" i="46" s="1"/>
  <c r="Z40" i="46" s="1"/>
  <c r="M39" i="46"/>
  <c r="V39" i="46" s="1"/>
  <c r="Z39" i="46" s="1"/>
  <c r="M38" i="46"/>
  <c r="V38" i="46" s="1"/>
  <c r="Z38" i="46" s="1"/>
  <c r="M37" i="46"/>
  <c r="V37" i="46" s="1"/>
  <c r="Z37" i="46" s="1"/>
  <c r="M36" i="46"/>
  <c r="V36" i="46" s="1"/>
  <c r="Z36" i="46" s="1"/>
  <c r="M35" i="46"/>
  <c r="V35" i="46" s="1"/>
  <c r="Z35" i="46" s="1"/>
  <c r="M34" i="46"/>
  <c r="V34" i="46" s="1"/>
  <c r="Z34" i="46" s="1"/>
  <c r="M33" i="46"/>
  <c r="V33" i="46" s="1"/>
  <c r="Z33" i="46" s="1"/>
  <c r="M32" i="46"/>
  <c r="V32" i="46" s="1"/>
  <c r="Z32" i="46" s="1"/>
  <c r="M31" i="46"/>
  <c r="Q31" i="46" s="1"/>
  <c r="Q61" i="45"/>
  <c r="P61" i="45"/>
  <c r="Q60" i="45"/>
  <c r="P60" i="45"/>
  <c r="Q59" i="45"/>
  <c r="P59" i="45"/>
  <c r="Q58" i="45"/>
  <c r="P58" i="45"/>
  <c r="Q57" i="45"/>
  <c r="P57" i="45"/>
  <c r="Q56" i="45"/>
  <c r="P56" i="45"/>
  <c r="Q55" i="45"/>
  <c r="P55" i="45"/>
  <c r="Q54" i="45"/>
  <c r="P54" i="45"/>
  <c r="Q53" i="45"/>
  <c r="P53" i="45"/>
  <c r="Q52" i="45"/>
  <c r="P52" i="45"/>
  <c r="Q51" i="45"/>
  <c r="P51" i="45"/>
  <c r="Q50" i="45"/>
  <c r="P50" i="45"/>
  <c r="Q49" i="45"/>
  <c r="P49" i="45"/>
  <c r="Q48" i="45"/>
  <c r="P48" i="45"/>
  <c r="Q47" i="45"/>
  <c r="P47" i="45"/>
  <c r="Q46" i="45"/>
  <c r="P46" i="45"/>
  <c r="Q45" i="45"/>
  <c r="P45" i="45"/>
  <c r="Q44" i="45"/>
  <c r="P44" i="45"/>
  <c r="Q43" i="45"/>
  <c r="P43" i="45"/>
  <c r="Q42" i="45"/>
  <c r="P42" i="45"/>
  <c r="Q41" i="45"/>
  <c r="P41" i="45"/>
  <c r="Q40" i="45"/>
  <c r="P40" i="45"/>
  <c r="Q39" i="45"/>
  <c r="P39" i="45"/>
  <c r="Q38" i="45"/>
  <c r="P38" i="45"/>
  <c r="Q37" i="45"/>
  <c r="P37" i="45"/>
  <c r="Q36" i="45"/>
  <c r="P36" i="45"/>
  <c r="Q35" i="45"/>
  <c r="P35" i="45"/>
  <c r="Q34" i="45"/>
  <c r="P34" i="45"/>
  <c r="Q33" i="45"/>
  <c r="P33" i="45"/>
  <c r="K31" i="45"/>
  <c r="O31" i="45" s="1"/>
  <c r="G52" i="43"/>
  <c r="H52" i="43" s="1"/>
  <c r="G51" i="43"/>
  <c r="H51" i="43" s="1"/>
  <c r="G50" i="43"/>
  <c r="H50" i="43" s="1"/>
  <c r="G49" i="43"/>
  <c r="H49" i="43" s="1"/>
  <c r="G48" i="43"/>
  <c r="H48" i="43" s="1"/>
  <c r="G47" i="43"/>
  <c r="H47" i="43" s="1"/>
  <c r="G46" i="43"/>
  <c r="H46" i="43" s="1"/>
  <c r="G45" i="43"/>
  <c r="H45" i="43" s="1"/>
  <c r="G44" i="43"/>
  <c r="H44" i="43" s="1"/>
  <c r="G43" i="43"/>
  <c r="H43" i="43" s="1"/>
  <c r="G42" i="43"/>
  <c r="H42" i="43" s="1"/>
  <c r="G41" i="43"/>
  <c r="H41" i="43" s="1"/>
  <c r="G40" i="43"/>
  <c r="H40" i="43" s="1"/>
  <c r="G39" i="43"/>
  <c r="H39" i="43" s="1"/>
  <c r="G38" i="43"/>
  <c r="H38" i="43" s="1"/>
  <c r="G37" i="43"/>
  <c r="H37" i="43" s="1"/>
  <c r="G36" i="43"/>
  <c r="H36" i="43" s="1"/>
  <c r="G35" i="43"/>
  <c r="H35" i="43" s="1"/>
  <c r="Z35" i="43" s="1"/>
  <c r="G34" i="43"/>
  <c r="H34" i="43" s="1"/>
  <c r="G33" i="43"/>
  <c r="H33" i="43" s="1"/>
  <c r="G32" i="43"/>
  <c r="H32" i="43" s="1"/>
  <c r="Z32" i="43" s="1"/>
  <c r="L427" i="37"/>
  <c r="M427" i="37" s="1"/>
  <c r="L426" i="37"/>
  <c r="M426" i="37" s="1"/>
  <c r="L425" i="37"/>
  <c r="M425" i="37" s="1"/>
  <c r="L424" i="37"/>
  <c r="M424" i="37" s="1"/>
  <c r="L423" i="37"/>
  <c r="M423" i="37" s="1"/>
  <c r="L422" i="37"/>
  <c r="M422" i="37" s="1"/>
  <c r="L421" i="37"/>
  <c r="L420" i="37"/>
  <c r="M420" i="37" s="1"/>
  <c r="L419" i="37"/>
  <c r="M419" i="37" s="1"/>
  <c r="L418" i="37"/>
  <c r="L417" i="37"/>
  <c r="L416" i="37"/>
  <c r="L415" i="37"/>
  <c r="M415" i="37" s="1"/>
  <c r="L414" i="37"/>
  <c r="L413" i="37"/>
  <c r="M413" i="37" s="1"/>
  <c r="L412" i="37"/>
  <c r="L411" i="37"/>
  <c r="L410" i="37"/>
  <c r="L409" i="37"/>
  <c r="M409" i="37" s="1"/>
  <c r="L408" i="37"/>
  <c r="L407" i="37"/>
  <c r="M407" i="37" s="1"/>
  <c r="L405" i="37"/>
  <c r="L404" i="37"/>
  <c r="BF28" i="17"/>
  <c r="BF27" i="17"/>
  <c r="BF26" i="17"/>
  <c r="BF25" i="17"/>
  <c r="BF24" i="17"/>
  <c r="BF23" i="17"/>
  <c r="BF22" i="17"/>
  <c r="BF20" i="17"/>
  <c r="BF19" i="17"/>
  <c r="BF18" i="17"/>
  <c r="K43" i="44"/>
  <c r="K42" i="44"/>
  <c r="K41" i="44"/>
  <c r="K40" i="44"/>
  <c r="K39" i="44"/>
  <c r="K38" i="44"/>
  <c r="O38" i="44" s="1"/>
  <c r="K37" i="44"/>
  <c r="O37" i="44" s="1"/>
  <c r="K36" i="44"/>
  <c r="O36" i="44" s="1"/>
  <c r="K35" i="44"/>
  <c r="O35" i="44" s="1"/>
  <c r="K34" i="44"/>
  <c r="O34" i="44" s="1"/>
  <c r="K33" i="44"/>
  <c r="O33" i="44" s="1"/>
  <c r="K32" i="44"/>
  <c r="O32" i="44" s="1"/>
  <c r="K31" i="44"/>
  <c r="O31" i="44" s="1"/>
  <c r="G60" i="42"/>
  <c r="G59" i="42"/>
  <c r="G58" i="42"/>
  <c r="G57" i="42"/>
  <c r="G56" i="42"/>
  <c r="P35" i="42"/>
  <c r="P34" i="42"/>
  <c r="O49" i="46"/>
  <c r="R49" i="46" s="1"/>
  <c r="L35" i="43"/>
  <c r="M35" i="43" s="1"/>
  <c r="P35" i="43" s="1"/>
  <c r="V53" i="46"/>
  <c r="Z53" i="46" s="1"/>
  <c r="Q60" i="46"/>
  <c r="Q44" i="46"/>
  <c r="Q52" i="46"/>
  <c r="Q55" i="46"/>
  <c r="Q42" i="46"/>
  <c r="Q50" i="46"/>
  <c r="Q58" i="46"/>
  <c r="Q53" i="46"/>
  <c r="Q48" i="46"/>
  <c r="Q56" i="46"/>
  <c r="Q59" i="46"/>
  <c r="Q46" i="46"/>
  <c r="Q54" i="46"/>
  <c r="Q49" i="46"/>
  <c r="Q57" i="46"/>
  <c r="N60" i="42"/>
  <c r="N59" i="42"/>
  <c r="N58" i="42"/>
  <c r="N57" i="42"/>
  <c r="N56" i="42"/>
  <c r="N55" i="42"/>
  <c r="N54" i="42"/>
  <c r="N52" i="42"/>
  <c r="N48" i="42"/>
  <c r="N45" i="42"/>
  <c r="N44" i="42"/>
  <c r="N40" i="42"/>
  <c r="N37" i="42"/>
  <c r="N36" i="42"/>
  <c r="K60" i="42"/>
  <c r="L60" i="42" s="1"/>
  <c r="K59" i="42"/>
  <c r="L59" i="42" s="1"/>
  <c r="K58" i="42"/>
  <c r="L58" i="42" s="1"/>
  <c r="K57" i="42"/>
  <c r="L57" i="42" s="1"/>
  <c r="K56" i="42"/>
  <c r="L56" i="42" s="1"/>
  <c r="K55" i="42"/>
  <c r="L55" i="42" s="1"/>
  <c r="K54" i="42"/>
  <c r="L54" i="42" s="1"/>
  <c r="K53" i="42"/>
  <c r="K52" i="42"/>
  <c r="L52" i="42" s="1"/>
  <c r="O52" i="42" s="1"/>
  <c r="K51" i="42"/>
  <c r="L51" i="42" s="1"/>
  <c r="O51" i="42" s="1"/>
  <c r="K50" i="42"/>
  <c r="K49" i="42"/>
  <c r="K48" i="42"/>
  <c r="K47" i="42"/>
  <c r="K46" i="42"/>
  <c r="K45" i="42"/>
  <c r="K44" i="42"/>
  <c r="L44" i="42" s="1"/>
  <c r="O44" i="42" s="1"/>
  <c r="K43" i="42"/>
  <c r="L43" i="42" s="1"/>
  <c r="O43" i="42" s="1"/>
  <c r="K42" i="42"/>
  <c r="K41" i="42"/>
  <c r="K40" i="42"/>
  <c r="K39" i="42"/>
  <c r="K38" i="42"/>
  <c r="K37" i="42"/>
  <c r="K36" i="42"/>
  <c r="L36" i="42" s="1"/>
  <c r="O36" i="42" s="1"/>
  <c r="K35" i="42"/>
  <c r="L35" i="42" s="1"/>
  <c r="O35" i="42" s="1"/>
  <c r="K34" i="42"/>
  <c r="Q52" i="43"/>
  <c r="P52" i="43"/>
  <c r="O52" i="43"/>
  <c r="K52" i="43"/>
  <c r="T52" i="43" s="1"/>
  <c r="Q51" i="43"/>
  <c r="P51" i="43"/>
  <c r="O51" i="43"/>
  <c r="K51" i="43"/>
  <c r="T51" i="43" s="1"/>
  <c r="Q50" i="43"/>
  <c r="P50" i="43"/>
  <c r="O50" i="43"/>
  <c r="K50" i="43"/>
  <c r="T50" i="43" s="1"/>
  <c r="Q49" i="43"/>
  <c r="P49" i="43"/>
  <c r="O49" i="43"/>
  <c r="K49" i="43"/>
  <c r="T49" i="43" s="1"/>
  <c r="Q48" i="43"/>
  <c r="P48" i="43"/>
  <c r="O48" i="43"/>
  <c r="K48" i="43"/>
  <c r="T48" i="43" s="1"/>
  <c r="Q47" i="43"/>
  <c r="P47" i="43"/>
  <c r="O47" i="43"/>
  <c r="K47" i="43"/>
  <c r="T47" i="43" s="1"/>
  <c r="Q46" i="43"/>
  <c r="P46" i="43"/>
  <c r="O46" i="43"/>
  <c r="K46" i="43"/>
  <c r="T46" i="43" s="1"/>
  <c r="Q45" i="43"/>
  <c r="P45" i="43"/>
  <c r="O45" i="43"/>
  <c r="K45" i="43"/>
  <c r="T45" i="43" s="1"/>
  <c r="Q44" i="43"/>
  <c r="P44" i="43"/>
  <c r="O44" i="43"/>
  <c r="K44" i="43"/>
  <c r="T44" i="43" s="1"/>
  <c r="Q43" i="43"/>
  <c r="P43" i="43"/>
  <c r="O43" i="43"/>
  <c r="K43" i="43"/>
  <c r="T43" i="43" s="1"/>
  <c r="Q42" i="43"/>
  <c r="P42" i="43"/>
  <c r="O42" i="43"/>
  <c r="K42" i="43"/>
  <c r="T42" i="43" s="1"/>
  <c r="Q41" i="43"/>
  <c r="P41" i="43"/>
  <c r="O41" i="43"/>
  <c r="K41" i="43"/>
  <c r="T41" i="43" s="1"/>
  <c r="Q40" i="43"/>
  <c r="P40" i="43"/>
  <c r="O40" i="43"/>
  <c r="K40" i="43"/>
  <c r="T40" i="43" s="1"/>
  <c r="Q39" i="43"/>
  <c r="P39" i="43"/>
  <c r="O39" i="43"/>
  <c r="K39" i="43"/>
  <c r="T39" i="43" s="1"/>
  <c r="Q38" i="43"/>
  <c r="P38" i="43"/>
  <c r="K38" i="43"/>
  <c r="O38" i="43" s="1"/>
  <c r="Q37" i="43"/>
  <c r="P37" i="43"/>
  <c r="O37" i="43"/>
  <c r="K37" i="43"/>
  <c r="T37" i="43" s="1"/>
  <c r="Q36" i="43"/>
  <c r="P36" i="43"/>
  <c r="O36" i="43"/>
  <c r="K36" i="43"/>
  <c r="T36" i="43" s="1"/>
  <c r="K35" i="43"/>
  <c r="T35" i="43" s="1"/>
  <c r="X35" i="43" s="1"/>
  <c r="K34" i="43"/>
  <c r="T34" i="43" s="1"/>
  <c r="K33" i="43"/>
  <c r="T33" i="43" s="1"/>
  <c r="K32" i="43"/>
  <c r="O32" i="43" s="1"/>
  <c r="K31" i="43"/>
  <c r="O31" i="43" s="1"/>
  <c r="O60" i="42"/>
  <c r="J60" i="42"/>
  <c r="O59" i="42"/>
  <c r="J59" i="42"/>
  <c r="O58" i="42"/>
  <c r="J58" i="42"/>
  <c r="O57" i="42"/>
  <c r="J57" i="42"/>
  <c r="O56" i="42"/>
  <c r="J56" i="42"/>
  <c r="O55" i="42"/>
  <c r="J55" i="42"/>
  <c r="O54" i="42"/>
  <c r="J54" i="42"/>
  <c r="J53" i="42"/>
  <c r="N53" i="42" s="1"/>
  <c r="J52" i="42"/>
  <c r="J51" i="42"/>
  <c r="N51" i="42" s="1"/>
  <c r="J50" i="42"/>
  <c r="N50" i="42" s="1"/>
  <c r="J49" i="42"/>
  <c r="N49" i="42" s="1"/>
  <c r="J48" i="42"/>
  <c r="J47" i="42"/>
  <c r="N47" i="42" s="1"/>
  <c r="J46" i="42"/>
  <c r="N46" i="42" s="1"/>
  <c r="J45" i="42"/>
  <c r="J44" i="42"/>
  <c r="J43" i="42"/>
  <c r="N43" i="42" s="1"/>
  <c r="J42" i="42"/>
  <c r="N42" i="42" s="1"/>
  <c r="J41" i="42"/>
  <c r="N41" i="42" s="1"/>
  <c r="J40" i="42"/>
  <c r="J39" i="42"/>
  <c r="N39" i="42" s="1"/>
  <c r="J38" i="42"/>
  <c r="N38" i="42" s="1"/>
  <c r="J37" i="42"/>
  <c r="J36" i="42"/>
  <c r="J35" i="42"/>
  <c r="N35" i="42" s="1"/>
  <c r="J34" i="42"/>
  <c r="N34" i="42" s="1"/>
  <c r="J33" i="42"/>
  <c r="N33" i="42" s="1"/>
  <c r="J32" i="42"/>
  <c r="N32" i="42" s="1"/>
  <c r="J31" i="42"/>
  <c r="N31" i="42" s="1"/>
  <c r="F128" i="37"/>
  <c r="F124" i="37"/>
  <c r="F120" i="37"/>
  <c r="F116" i="37"/>
  <c r="L60" i="41"/>
  <c r="L59" i="41"/>
  <c r="L56" i="41"/>
  <c r="L54" i="41"/>
  <c r="M54" i="41" s="1"/>
  <c r="P54" i="41" s="1"/>
  <c r="L53" i="41"/>
  <c r="L52" i="41"/>
  <c r="L51" i="41"/>
  <c r="M51" i="41" s="1"/>
  <c r="P51" i="41" s="1"/>
  <c r="L48" i="41"/>
  <c r="M48" i="41" s="1"/>
  <c r="P48" i="41" s="1"/>
  <c r="L46" i="41"/>
  <c r="M46" i="41" s="1"/>
  <c r="P46" i="41" s="1"/>
  <c r="L45" i="41"/>
  <c r="L44" i="41"/>
  <c r="L40" i="41"/>
  <c r="M40" i="41" s="1"/>
  <c r="P40" i="41" s="1"/>
  <c r="K32" i="33"/>
  <c r="O32" i="33" s="1"/>
  <c r="K33" i="33"/>
  <c r="O33" i="33" s="1"/>
  <c r="K35" i="33"/>
  <c r="T35" i="33" s="1"/>
  <c r="K36" i="33"/>
  <c r="O36" i="33" s="1"/>
  <c r="K37" i="33"/>
  <c r="O37" i="33" s="1"/>
  <c r="K39" i="33"/>
  <c r="O39" i="33" s="1"/>
  <c r="K40" i="33"/>
  <c r="O40" i="33" s="1"/>
  <c r="K41" i="33"/>
  <c r="T41" i="33" s="1"/>
  <c r="K42" i="33"/>
  <c r="T42" i="33" s="1"/>
  <c r="X42" i="33" s="1"/>
  <c r="K43" i="33"/>
  <c r="T43" i="33" s="1"/>
  <c r="X43" i="33" s="1"/>
  <c r="K44" i="33"/>
  <c r="T44" i="33" s="1"/>
  <c r="X44" i="33" s="1"/>
  <c r="K45" i="33"/>
  <c r="T45" i="33" s="1"/>
  <c r="K46" i="33"/>
  <c r="T46" i="33" s="1"/>
  <c r="K47" i="33"/>
  <c r="T47" i="33" s="1"/>
  <c r="O47" i="33"/>
  <c r="K48" i="33"/>
  <c r="T48" i="33" s="1"/>
  <c r="L48" i="33"/>
  <c r="K49" i="33"/>
  <c r="O49" i="33" s="1"/>
  <c r="K50" i="33"/>
  <c r="T50" i="33" s="1"/>
  <c r="X50" i="33" s="1"/>
  <c r="L50" i="33"/>
  <c r="K51" i="33"/>
  <c r="T51" i="33" s="1"/>
  <c r="K52" i="33"/>
  <c r="T52" i="33" s="1"/>
  <c r="L52" i="33"/>
  <c r="M52" i="33" s="1"/>
  <c r="K53" i="33"/>
  <c r="T53" i="33" s="1"/>
  <c r="O53" i="33"/>
  <c r="K54" i="33"/>
  <c r="T54" i="33" s="1"/>
  <c r="K55" i="33"/>
  <c r="T55" i="33" s="1"/>
  <c r="K56" i="33"/>
  <c r="T56" i="33" s="1"/>
  <c r="V56" i="33"/>
  <c r="L56" i="33"/>
  <c r="K57" i="33"/>
  <c r="T57" i="33" s="1"/>
  <c r="L57" i="33"/>
  <c r="K58" i="33"/>
  <c r="T58" i="33" s="1"/>
  <c r="X58" i="33" s="1"/>
  <c r="L58" i="33"/>
  <c r="M58" i="33" s="1"/>
  <c r="K59" i="33"/>
  <c r="T59" i="33" s="1"/>
  <c r="X59" i="33" s="1"/>
  <c r="L59" i="33"/>
  <c r="K60" i="33"/>
  <c r="T60" i="33" s="1"/>
  <c r="L60" i="33"/>
  <c r="M60" i="33" s="1"/>
  <c r="F115" i="37"/>
  <c r="F113" i="37"/>
  <c r="F114" i="37"/>
  <c r="Q60" i="41"/>
  <c r="K60" i="41"/>
  <c r="T60" i="41" s="1"/>
  <c r="Q59" i="41"/>
  <c r="K59" i="41"/>
  <c r="T59" i="41" s="1"/>
  <c r="X59" i="41" s="1"/>
  <c r="Q58" i="41"/>
  <c r="K58" i="41"/>
  <c r="T58" i="41" s="1"/>
  <c r="K57" i="41"/>
  <c r="T57" i="41" s="1"/>
  <c r="X57" i="41" s="1"/>
  <c r="Q56" i="41"/>
  <c r="K56" i="41"/>
  <c r="T56" i="41" s="1"/>
  <c r="X56" i="41" s="1"/>
  <c r="K55" i="41"/>
  <c r="T55" i="41" s="1"/>
  <c r="Q54" i="41"/>
  <c r="K54" i="41"/>
  <c r="T54" i="41" s="1"/>
  <c r="Q53" i="41"/>
  <c r="K53" i="41"/>
  <c r="T53" i="41" s="1"/>
  <c r="V53" i="41" s="1"/>
  <c r="W53" i="41" s="1"/>
  <c r="Y53" i="41" s="1"/>
  <c r="Q52" i="41"/>
  <c r="K52" i="41"/>
  <c r="T52" i="41" s="1"/>
  <c r="Q51" i="41"/>
  <c r="K51" i="41"/>
  <c r="T51" i="41" s="1"/>
  <c r="X51" i="41" s="1"/>
  <c r="K50" i="41"/>
  <c r="T50" i="41" s="1"/>
  <c r="X50" i="41" s="1"/>
  <c r="Q49" i="41"/>
  <c r="K49" i="41"/>
  <c r="T49" i="41" s="1"/>
  <c r="K48" i="41"/>
  <c r="T48" i="41" s="1"/>
  <c r="K47" i="41"/>
  <c r="O47" i="41" s="1"/>
  <c r="Q46" i="41"/>
  <c r="K46" i="41"/>
  <c r="T46" i="41" s="1"/>
  <c r="X46" i="41" s="1"/>
  <c r="Q45" i="41"/>
  <c r="K45" i="41"/>
  <c r="T45" i="41" s="1"/>
  <c r="Q44" i="41"/>
  <c r="K44" i="41"/>
  <c r="T44" i="41" s="1"/>
  <c r="K43" i="41"/>
  <c r="T43" i="41" s="1"/>
  <c r="X43" i="41" s="1"/>
  <c r="K42" i="41"/>
  <c r="T42" i="41" s="1"/>
  <c r="Q41" i="41"/>
  <c r="K41" i="41"/>
  <c r="T41" i="41" s="1"/>
  <c r="K40" i="41"/>
  <c r="T40" i="41" s="1"/>
  <c r="X40" i="41" s="1"/>
  <c r="K39" i="41"/>
  <c r="T39" i="41" s="1"/>
  <c r="X39" i="41" s="1"/>
  <c r="K38" i="41"/>
  <c r="O38" i="41" s="1"/>
  <c r="K37" i="41"/>
  <c r="T37" i="41" s="1"/>
  <c r="K36" i="41"/>
  <c r="O36" i="41" s="1"/>
  <c r="K35" i="41"/>
  <c r="O35" i="41" s="1"/>
  <c r="K34" i="41"/>
  <c r="O34" i="41" s="1"/>
  <c r="K33" i="41"/>
  <c r="O33" i="41" s="1"/>
  <c r="K32" i="41"/>
  <c r="T32" i="41" s="1"/>
  <c r="X32" i="41" s="1"/>
  <c r="K31" i="41"/>
  <c r="T31" i="41" s="1"/>
  <c r="X31" i="41" s="1"/>
  <c r="M53" i="41"/>
  <c r="P53" i="41" s="1"/>
  <c r="M56" i="41"/>
  <c r="P56" i="41" s="1"/>
  <c r="M59" i="41"/>
  <c r="P59" i="41" s="1"/>
  <c r="O48" i="41"/>
  <c r="O56" i="41"/>
  <c r="M44" i="41"/>
  <c r="P44" i="41" s="1"/>
  <c r="M52" i="41"/>
  <c r="P52" i="41" s="1"/>
  <c r="M60" i="41"/>
  <c r="P60" i="41" s="1"/>
  <c r="O45" i="33"/>
  <c r="O54" i="41"/>
  <c r="O46" i="41"/>
  <c r="O55" i="41"/>
  <c r="O49" i="41"/>
  <c r="O57" i="41"/>
  <c r="O58" i="41"/>
  <c r="O51" i="41"/>
  <c r="O59" i="41"/>
  <c r="O44" i="41"/>
  <c r="O52" i="41"/>
  <c r="O60" i="41"/>
  <c r="O53" i="41"/>
  <c r="X56" i="33"/>
  <c r="W56" i="33"/>
  <c r="Y56" i="33" s="1"/>
  <c r="X54" i="33"/>
  <c r="X46" i="33"/>
  <c r="X57" i="33"/>
  <c r="X53" i="33"/>
  <c r="X51" i="33"/>
  <c r="X47" i="33"/>
  <c r="X45" i="33"/>
  <c r="O60" i="33"/>
  <c r="O56" i="33"/>
  <c r="O52" i="33"/>
  <c r="O46" i="33"/>
  <c r="O42" i="33"/>
  <c r="O38" i="33"/>
  <c r="K33" i="42"/>
  <c r="K32" i="42"/>
  <c r="O34" i="33"/>
  <c r="X48" i="41"/>
  <c r="X58" i="41"/>
  <c r="X52" i="41"/>
  <c r="V52" i="41"/>
  <c r="W52" i="41" s="1"/>
  <c r="Y52" i="41" s="1"/>
  <c r="X44" i="41"/>
  <c r="X60" i="41"/>
  <c r="V60" i="41"/>
  <c r="W60" i="41" s="1"/>
  <c r="Y60" i="41" s="1"/>
  <c r="V46" i="41"/>
  <c r="W46" i="41" s="1"/>
  <c r="Y46" i="41" s="1"/>
  <c r="X54" i="41"/>
  <c r="V54" i="41"/>
  <c r="W54" i="41" s="1"/>
  <c r="Y54" i="41" s="1"/>
  <c r="X53" i="41"/>
  <c r="X55" i="41"/>
  <c r="X38" i="33"/>
  <c r="F127" i="37"/>
  <c r="F126" i="37"/>
  <c r="F125" i="37"/>
  <c r="B28" i="39"/>
  <c r="B29" i="39"/>
  <c r="B30" i="39"/>
  <c r="B44" i="39"/>
  <c r="B25" i="39"/>
  <c r="U28" i="37"/>
  <c r="B50" i="39"/>
  <c r="B45" i="39"/>
  <c r="B21" i="39"/>
  <c r="L38" i="41"/>
  <c r="K31" i="33"/>
  <c r="T31" i="33" s="1"/>
  <c r="M18" i="37"/>
  <c r="F65" i="37"/>
  <c r="F427" i="37"/>
  <c r="F426" i="37"/>
  <c r="F425" i="37"/>
  <c r="F424" i="37"/>
  <c r="F423" i="37"/>
  <c r="F422" i="37"/>
  <c r="F421" i="37"/>
  <c r="F420" i="37"/>
  <c r="F419" i="37"/>
  <c r="F418" i="37"/>
  <c r="F417" i="37"/>
  <c r="F416" i="37"/>
  <c r="F415" i="37"/>
  <c r="F414" i="37"/>
  <c r="F413" i="37"/>
  <c r="F412" i="37"/>
  <c r="F411" i="37"/>
  <c r="F410" i="37"/>
  <c r="F409" i="37"/>
  <c r="F408" i="37"/>
  <c r="F407" i="37"/>
  <c r="F405" i="37"/>
  <c r="F404" i="37"/>
  <c r="F382" i="37"/>
  <c r="F381" i="37"/>
  <c r="F380" i="37"/>
  <c r="F379" i="37"/>
  <c r="F378" i="37"/>
  <c r="F377" i="37"/>
  <c r="F376" i="37"/>
  <c r="F375" i="37"/>
  <c r="F374" i="37"/>
  <c r="F373" i="37"/>
  <c r="F372" i="37"/>
  <c r="F371" i="37"/>
  <c r="F370" i="37"/>
  <c r="F369" i="37"/>
  <c r="F368" i="37"/>
  <c r="F367" i="37"/>
  <c r="F366" i="37"/>
  <c r="F365" i="37"/>
  <c r="F364" i="37"/>
  <c r="F363" i="37"/>
  <c r="F362" i="37"/>
  <c r="F361" i="37"/>
  <c r="F360" i="37"/>
  <c r="F359" i="37"/>
  <c r="F358" i="37"/>
  <c r="F357" i="37"/>
  <c r="F356" i="37"/>
  <c r="F355" i="37"/>
  <c r="F354" i="37"/>
  <c r="F353" i="37"/>
  <c r="F352" i="37"/>
  <c r="F351" i="37"/>
  <c r="F350" i="37"/>
  <c r="F349" i="37"/>
  <c r="F348" i="37"/>
  <c r="F347" i="37"/>
  <c r="F346" i="37"/>
  <c r="F345" i="37"/>
  <c r="F344" i="37"/>
  <c r="F343" i="37"/>
  <c r="F342" i="37"/>
  <c r="F341" i="37"/>
  <c r="F340" i="37"/>
  <c r="F339" i="37"/>
  <c r="F338" i="37"/>
  <c r="F337" i="37"/>
  <c r="F336" i="37"/>
  <c r="F335" i="37"/>
  <c r="F334" i="37"/>
  <c r="F333" i="37"/>
  <c r="F332" i="37"/>
  <c r="F331" i="37"/>
  <c r="F330" i="37"/>
  <c r="F329" i="37"/>
  <c r="F328" i="37"/>
  <c r="F327" i="37"/>
  <c r="F326" i="37"/>
  <c r="F325" i="37"/>
  <c r="F323" i="37"/>
  <c r="F322" i="37"/>
  <c r="F321" i="37"/>
  <c r="F320" i="37"/>
  <c r="F319" i="37"/>
  <c r="F318" i="37"/>
  <c r="F317" i="37"/>
  <c r="F316" i="37"/>
  <c r="F266" i="37"/>
  <c r="F265" i="37"/>
  <c r="F264" i="37"/>
  <c r="F263" i="37"/>
  <c r="F262" i="37"/>
  <c r="F261" i="37"/>
  <c r="F260" i="37"/>
  <c r="F258" i="37"/>
  <c r="F257" i="37"/>
  <c r="F256" i="37"/>
  <c r="L235" i="37"/>
  <c r="M235" i="37" s="1"/>
  <c r="L234" i="37"/>
  <c r="M234" i="37" s="1"/>
  <c r="L233" i="37"/>
  <c r="M233" i="37" s="1"/>
  <c r="L232" i="37"/>
  <c r="M232" i="37" s="1"/>
  <c r="L216" i="37"/>
  <c r="M216" i="37" s="1"/>
  <c r="L215" i="37"/>
  <c r="M215" i="37" s="1"/>
  <c r="L214" i="37"/>
  <c r="M214" i="37" s="1"/>
  <c r="L213" i="37"/>
  <c r="M213" i="37" s="1"/>
  <c r="L212" i="37"/>
  <c r="M212" i="37" s="1"/>
  <c r="L211" i="37"/>
  <c r="M211" i="37" s="1"/>
  <c r="L210" i="37"/>
  <c r="M210" i="37" s="1"/>
  <c r="L209" i="37"/>
  <c r="M209" i="37" s="1"/>
  <c r="L208" i="37"/>
  <c r="M208" i="37" s="1"/>
  <c r="L207" i="37"/>
  <c r="M207" i="37" s="1"/>
  <c r="L206" i="37"/>
  <c r="M206" i="37" s="1"/>
  <c r="L205" i="37"/>
  <c r="M205" i="37" s="1"/>
  <c r="L204" i="37"/>
  <c r="M204" i="37" s="1"/>
  <c r="L203" i="37"/>
  <c r="M203" i="37" s="1"/>
  <c r="L202" i="37"/>
  <c r="M202" i="37" s="1"/>
  <c r="F186" i="37"/>
  <c r="F180" i="37"/>
  <c r="F179" i="37"/>
  <c r="F178" i="37"/>
  <c r="F177"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1" i="37"/>
  <c r="F130" i="37"/>
  <c r="F129" i="37"/>
  <c r="F123" i="37"/>
  <c r="F122" i="37"/>
  <c r="F121" i="37"/>
  <c r="F119" i="37"/>
  <c r="F118" i="37"/>
  <c r="F117" i="37"/>
  <c r="F112" i="37"/>
  <c r="F110" i="37"/>
  <c r="F111" i="37"/>
  <c r="L109" i="37"/>
  <c r="M109" i="37" s="1"/>
  <c r="F109" i="37"/>
  <c r="L108" i="37"/>
  <c r="M108" i="37" s="1"/>
  <c r="F108" i="37"/>
  <c r="L107" i="37"/>
  <c r="M107" i="37" s="1"/>
  <c r="F107" i="37"/>
  <c r="L106" i="37"/>
  <c r="M106" i="37" s="1"/>
  <c r="F106" i="37"/>
  <c r="F104" i="37"/>
  <c r="F103" i="37"/>
  <c r="F102" i="37"/>
  <c r="F101" i="37"/>
  <c r="F100" i="37"/>
  <c r="F99" i="37"/>
  <c r="F98" i="37"/>
  <c r="F97" i="37"/>
  <c r="F96" i="37"/>
  <c r="F95" i="37"/>
  <c r="F94" i="37"/>
  <c r="F93" i="37"/>
  <c r="F92" i="37"/>
  <c r="F91" i="37"/>
  <c r="L105" i="37"/>
  <c r="M105" i="37" s="1"/>
  <c r="F105" i="37"/>
  <c r="L90" i="37"/>
  <c r="M90" i="37" s="1"/>
  <c r="F90" i="37"/>
  <c r="L89" i="37"/>
  <c r="M89" i="37" s="1"/>
  <c r="F89" i="37"/>
  <c r="L88" i="37"/>
  <c r="M88" i="37" s="1"/>
  <c r="F88" i="37"/>
  <c r="L87" i="37"/>
  <c r="M87" i="37" s="1"/>
  <c r="F87" i="37"/>
  <c r="L86" i="37"/>
  <c r="M86" i="37" s="1"/>
  <c r="F86" i="37"/>
  <c r="L85" i="37"/>
  <c r="M85" i="37" s="1"/>
  <c r="F85" i="37"/>
  <c r="L84" i="37"/>
  <c r="M84" i="37" s="1"/>
  <c r="F84" i="37"/>
  <c r="L83" i="37"/>
  <c r="M83" i="37" s="1"/>
  <c r="F83" i="37"/>
  <c r="L82" i="37"/>
  <c r="M82" i="37" s="1"/>
  <c r="F82" i="37"/>
  <c r="L81" i="37"/>
  <c r="M81" i="37" s="1"/>
  <c r="F81" i="37"/>
  <c r="L80" i="37"/>
  <c r="M80" i="37" s="1"/>
  <c r="F80" i="37"/>
  <c r="L79" i="37"/>
  <c r="M79" i="37" s="1"/>
  <c r="F79" i="37"/>
  <c r="L78" i="37"/>
  <c r="M78" i="37" s="1"/>
  <c r="F78" i="37"/>
  <c r="L77" i="37"/>
  <c r="M77" i="37" s="1"/>
  <c r="F77" i="37"/>
  <c r="F76" i="37"/>
  <c r="F75" i="37"/>
  <c r="F73" i="37"/>
  <c r="F72" i="37"/>
  <c r="F71"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L39" i="37"/>
  <c r="M39" i="37" s="1"/>
  <c r="F39" i="37"/>
  <c r="L38" i="37"/>
  <c r="M38" i="37" s="1"/>
  <c r="F38" i="37"/>
  <c r="L37" i="37"/>
  <c r="M37" i="37" s="1"/>
  <c r="F37" i="37"/>
  <c r="L36" i="37"/>
  <c r="M36" i="37" s="1"/>
  <c r="F36" i="37"/>
  <c r="L35" i="37"/>
  <c r="M35" i="37" s="1"/>
  <c r="F35" i="37"/>
  <c r="L34" i="37"/>
  <c r="M34" i="37" s="1"/>
  <c r="F34" i="37"/>
  <c r="L33" i="37"/>
  <c r="M33" i="37" s="1"/>
  <c r="F33" i="37"/>
  <c r="L32" i="37"/>
  <c r="M32" i="37" s="1"/>
  <c r="F32" i="37"/>
  <c r="L31" i="37"/>
  <c r="M31" i="37" s="1"/>
  <c r="F31" i="37"/>
  <c r="L30" i="37"/>
  <c r="M30" i="37" s="1"/>
  <c r="F30" i="37"/>
  <c r="L29" i="37"/>
  <c r="M29" i="37" s="1"/>
  <c r="F29" i="37"/>
  <c r="P23" i="37"/>
  <c r="O23" i="37"/>
  <c r="N23" i="37"/>
  <c r="P22" i="37"/>
  <c r="O22" i="37"/>
  <c r="N22" i="37"/>
  <c r="P21" i="37"/>
  <c r="O21" i="37"/>
  <c r="N21" i="37"/>
  <c r="P20" i="37"/>
  <c r="O20" i="37"/>
  <c r="N20" i="37"/>
  <c r="P19" i="37"/>
  <c r="O19" i="37"/>
  <c r="N19" i="37"/>
  <c r="P18" i="37"/>
  <c r="O18" i="37"/>
  <c r="N18" i="37"/>
  <c r="L40" i="33"/>
  <c r="M40" i="33" s="1"/>
  <c r="N40" i="33" s="1"/>
  <c r="Q39" i="48"/>
  <c r="S45" i="53"/>
  <c r="S41" i="53"/>
  <c r="S44" i="53"/>
  <c r="Q37" i="48"/>
  <c r="S46" i="53"/>
  <c r="S37" i="53"/>
  <c r="Q33" i="48"/>
  <c r="S42" i="53"/>
  <c r="S47" i="53"/>
  <c r="S38" i="53"/>
  <c r="Q38" i="48"/>
  <c r="Q34" i="48"/>
  <c r="S43" i="53"/>
  <c r="Q35" i="48"/>
  <c r="N44" i="53" a="1"/>
  <c r="N44" i="53" s="1"/>
  <c r="N36" i="53" a="1"/>
  <c r="N36" i="53" s="1"/>
  <c r="X36" i="53" s="1"/>
  <c r="Y36" i="53" s="1"/>
  <c r="AA36" i="53" s="1"/>
  <c r="N43" i="53" a="1"/>
  <c r="N43" i="53" s="1"/>
  <c r="N46" i="53" a="1"/>
  <c r="N46" i="53" s="1"/>
  <c r="O46" i="53" s="1"/>
  <c r="N41" i="53" a="1"/>
  <c r="N41" i="53" s="1"/>
  <c r="N48" i="53" a="1"/>
  <c r="N48" i="53" s="1"/>
  <c r="N38" i="53" a="1"/>
  <c r="N38" i="53" s="1"/>
  <c r="N40" i="53" a="1"/>
  <c r="N40" i="53" s="1"/>
  <c r="N45" i="53" a="1"/>
  <c r="N45" i="53" s="1"/>
  <c r="O45" i="53" s="1"/>
  <c r="N47" i="53" a="1"/>
  <c r="N47" i="53" s="1"/>
  <c r="X47" i="53" s="1"/>
  <c r="Y47" i="53" s="1"/>
  <c r="N42" i="53" a="1"/>
  <c r="N42" i="53" s="1"/>
  <c r="N37" i="53" a="1"/>
  <c r="N37" i="53" s="1"/>
  <c r="X37" i="53" s="1"/>
  <c r="Y37" i="53" s="1"/>
  <c r="Q36" i="48"/>
  <c r="S48" i="53"/>
  <c r="S43" i="46"/>
  <c r="S52" i="46"/>
  <c r="N57" i="46" a="1"/>
  <c r="N57" i="46" s="1"/>
  <c r="N56" i="46" a="1"/>
  <c r="N56" i="46" s="1"/>
  <c r="N48" i="46" a="1"/>
  <c r="N48" i="46" s="1"/>
  <c r="N40" i="46" a="1"/>
  <c r="N40" i="46" s="1"/>
  <c r="N55" i="46" a="1"/>
  <c r="N55" i="46" s="1"/>
  <c r="N47" i="46" a="1"/>
  <c r="N47" i="46" s="1"/>
  <c r="N39" i="46" a="1"/>
  <c r="N39" i="46" s="1"/>
  <c r="X39" i="46" s="1"/>
  <c r="Y39" i="46" s="1"/>
  <c r="AA39" i="46" s="1"/>
  <c r="N51" i="46" a="1"/>
  <c r="N51" i="46" s="1"/>
  <c r="N54" i="46" a="1"/>
  <c r="N54" i="46" s="1"/>
  <c r="N46" i="46" a="1"/>
  <c r="N46" i="46" s="1"/>
  <c r="N38" i="46" a="1"/>
  <c r="N38" i="46" s="1"/>
  <c r="X38" i="46" s="1"/>
  <c r="Y38" i="46" s="1"/>
  <c r="AA38" i="46" s="1"/>
  <c r="N52" i="46" a="1"/>
  <c r="N52" i="46" s="1"/>
  <c r="N43" i="46" a="1"/>
  <c r="N43" i="46" s="1"/>
  <c r="N53" i="46" a="1"/>
  <c r="N53" i="46" s="1"/>
  <c r="O53" i="46" s="1"/>
  <c r="R53" i="46" s="1"/>
  <c r="N45" i="46" a="1"/>
  <c r="N45" i="46" s="1"/>
  <c r="O45" i="46" s="1"/>
  <c r="R45" i="46" s="1"/>
  <c r="N37" i="46" a="1"/>
  <c r="N37" i="46" s="1"/>
  <c r="N44" i="46" a="1"/>
  <c r="N44" i="46" s="1"/>
  <c r="N50" i="46" a="1"/>
  <c r="N50" i="46" s="1"/>
  <c r="N42" i="46" a="1"/>
  <c r="N42" i="46" s="1"/>
  <c r="O42" i="46" s="1"/>
  <c r="R42" i="46" s="1"/>
  <c r="N41" i="46" a="1"/>
  <c r="N41" i="46" s="1"/>
  <c r="O41" i="46" s="1"/>
  <c r="R41" i="46" s="1"/>
  <c r="S38" i="46"/>
  <c r="S47" i="46"/>
  <c r="S56" i="46"/>
  <c r="S42" i="46"/>
  <c r="S51" i="46"/>
  <c r="S37" i="46"/>
  <c r="S46" i="46"/>
  <c r="S55" i="46"/>
  <c r="S41" i="46"/>
  <c r="S50" i="46"/>
  <c r="S45" i="46"/>
  <c r="S54" i="46"/>
  <c r="S40" i="46"/>
  <c r="S49" i="46"/>
  <c r="S44" i="46"/>
  <c r="S53" i="46"/>
  <c r="S39" i="46"/>
  <c r="S48" i="46"/>
  <c r="S57" i="46"/>
  <c r="Q32" i="48"/>
  <c r="Q31" i="54"/>
  <c r="Q36" i="41"/>
  <c r="R40" i="53"/>
  <c r="AA40" i="53"/>
  <c r="O48" i="53"/>
  <c r="R48" i="53"/>
  <c r="AA48" i="53"/>
  <c r="O44" i="53"/>
  <c r="R44" i="53"/>
  <c r="X44" i="53"/>
  <c r="Y44" i="53" s="1"/>
  <c r="AA44" i="53"/>
  <c r="O42" i="53"/>
  <c r="R42" i="53"/>
  <c r="X42" i="53"/>
  <c r="Y42" i="53" s="1"/>
  <c r="AA42" i="53"/>
  <c r="X41" i="53"/>
  <c r="Y41" i="53" s="1"/>
  <c r="AA41" i="53"/>
  <c r="O41" i="53"/>
  <c r="R41" i="53"/>
  <c r="R47" i="53"/>
  <c r="AA47" i="53"/>
  <c r="R46" i="53"/>
  <c r="X46" i="53"/>
  <c r="Y46" i="53" s="1"/>
  <c r="AA46" i="53"/>
  <c r="R45" i="53"/>
  <c r="AA45" i="53"/>
  <c r="R43" i="53"/>
  <c r="X43" i="53"/>
  <c r="Y43" i="53" s="1"/>
  <c r="AA43" i="53"/>
  <c r="O43" i="53"/>
  <c r="X36" i="46"/>
  <c r="O36" i="46"/>
  <c r="O46" i="46"/>
  <c r="R46" i="46" s="1"/>
  <c r="X46" i="46"/>
  <c r="Y46" i="46" s="1"/>
  <c r="AA46" i="46" s="1"/>
  <c r="O56" i="46"/>
  <c r="R56" i="46"/>
  <c r="X56" i="46"/>
  <c r="Y56" i="46" s="1"/>
  <c r="AA56" i="46" s="1"/>
  <c r="X53" i="46"/>
  <c r="Y53" i="46" s="1"/>
  <c r="AA53" i="46" s="1"/>
  <c r="O47" i="46"/>
  <c r="R47" i="46" s="1"/>
  <c r="X47" i="46"/>
  <c r="X52" i="46"/>
  <c r="Y52" i="46" s="1"/>
  <c r="AA52" i="46" s="1"/>
  <c r="O52" i="46"/>
  <c r="R52" i="46" s="1"/>
  <c r="O57" i="46"/>
  <c r="R57" i="46" s="1"/>
  <c r="X57" i="46"/>
  <c r="Y57" i="46" s="1"/>
  <c r="AA57" i="46" s="1"/>
  <c r="X48" i="46"/>
  <c r="Y48" i="46" s="1"/>
  <c r="AA48" i="46" s="1"/>
  <c r="O48" i="46"/>
  <c r="R48" i="46"/>
  <c r="AA37" i="53"/>
  <c r="R37" i="53"/>
  <c r="AA38" i="53"/>
  <c r="R38" i="53"/>
  <c r="AA39" i="53"/>
  <c r="R39" i="53"/>
  <c r="O50" i="46"/>
  <c r="R50" i="46" s="1"/>
  <c r="X50" i="46"/>
  <c r="Y50" i="46" s="1"/>
  <c r="AA50" i="46" s="1"/>
  <c r="O44" i="46"/>
  <c r="R44" i="46" s="1"/>
  <c r="X44" i="46"/>
  <c r="Y44" i="46" s="1"/>
  <c r="AA44" i="46" s="1"/>
  <c r="O37" i="46"/>
  <c r="R37" i="46" s="1"/>
  <c r="X37" i="46"/>
  <c r="Y37" i="46" s="1"/>
  <c r="AA37" i="46" s="1"/>
  <c r="O54" i="46"/>
  <c r="R54" i="46" s="1"/>
  <c r="X54" i="46"/>
  <c r="Y54" i="46" s="1"/>
  <c r="AA54" i="46" s="1"/>
  <c r="O55" i="46"/>
  <c r="R55" i="46"/>
  <c r="X55" i="46"/>
  <c r="Y55" i="46" s="1"/>
  <c r="AA55" i="46" s="1"/>
  <c r="D14" i="1"/>
  <c r="N58" i="33" l="1"/>
  <c r="P58" i="33" s="1"/>
  <c r="O50" i="33"/>
  <c r="O55" i="33"/>
  <c r="M57" i="33"/>
  <c r="M59" i="33"/>
  <c r="O43" i="33"/>
  <c r="M56" i="33"/>
  <c r="O54" i="33"/>
  <c r="P52" i="33"/>
  <c r="N52" i="33"/>
  <c r="O58" i="33"/>
  <c r="O59" i="33"/>
  <c r="V58" i="33"/>
  <c r="W58" i="33" s="1"/>
  <c r="Y58" i="33" s="1"/>
  <c r="M50" i="33"/>
  <c r="N50" i="33" s="1"/>
  <c r="P50" i="33" s="1"/>
  <c r="V59" i="33"/>
  <c r="W59" i="33" s="1"/>
  <c r="Y59" i="33" s="1"/>
  <c r="M55" i="33"/>
  <c r="N55" i="33" s="1"/>
  <c r="P55" i="33" s="1"/>
  <c r="N60" i="33"/>
  <c r="P60" i="33" s="1"/>
  <c r="Z32" i="41"/>
  <c r="P25" i="46" a="1"/>
  <c r="P25" i="46" s="1"/>
  <c r="R25" i="46" s="1"/>
  <c r="P25" i="53" a="1"/>
  <c r="P25" i="53" s="1"/>
  <c r="R25" i="53" s="1"/>
  <c r="N25" i="54" a="1"/>
  <c r="N25" i="54" s="1"/>
  <c r="P25" i="54" s="1"/>
  <c r="N24" i="54" a="1"/>
  <c r="N24" i="54" s="1"/>
  <c r="P24" i="54" s="1"/>
  <c r="S18" i="37"/>
  <c r="I14" i="19"/>
  <c r="P14" i="33" s="1"/>
  <c r="I32" i="19"/>
  <c r="O25" i="41"/>
  <c r="Y23" i="41"/>
  <c r="Y30" i="41" s="1"/>
  <c r="D12" i="41"/>
  <c r="U25" i="41"/>
  <c r="V25" i="41" s="1"/>
  <c r="W25" i="41" s="1"/>
  <c r="Y25" i="41" s="1"/>
  <c r="Z35" i="33"/>
  <c r="Q35" i="33"/>
  <c r="U37" i="33"/>
  <c r="Q37" i="33"/>
  <c r="T36" i="33"/>
  <c r="X36" i="33" s="1"/>
  <c r="L35" i="33"/>
  <c r="M35" i="33" s="1"/>
  <c r="N35" i="33" s="1"/>
  <c r="W34" i="46" a="1"/>
  <c r="W34" i="46" s="1"/>
  <c r="Q19" i="37"/>
  <c r="Q20" i="37"/>
  <c r="B27" i="39"/>
  <c r="B26" i="39"/>
  <c r="P40" i="44"/>
  <c r="P48" i="44"/>
  <c r="P41" i="44"/>
  <c r="P43" i="44"/>
  <c r="P51" i="44"/>
  <c r="P49" i="44"/>
  <c r="P46" i="44"/>
  <c r="T24" i="54"/>
  <c r="X24" i="54" s="1"/>
  <c r="V37" i="48"/>
  <c r="W37" i="48" s="1"/>
  <c r="Y37" i="48" s="1"/>
  <c r="O36" i="48"/>
  <c r="M36" i="48"/>
  <c r="P36" i="48" s="1"/>
  <c r="O35" i="48"/>
  <c r="U33" i="48" a="1"/>
  <c r="U33" i="48" s="1"/>
  <c r="V33" i="48" s="1"/>
  <c r="W33" i="48" s="1"/>
  <c r="Y33" i="48" s="1"/>
  <c r="O24" i="48"/>
  <c r="T59" i="48"/>
  <c r="O38" i="53"/>
  <c r="Q34" i="53"/>
  <c r="S40" i="53"/>
  <c r="S39" i="53"/>
  <c r="N39" i="53" a="1"/>
  <c r="N39" i="53" s="1"/>
  <c r="O39" i="53" s="1"/>
  <c r="V57" i="53"/>
  <c r="Z57" i="53" s="1"/>
  <c r="AB40" i="53"/>
  <c r="V56" i="53"/>
  <c r="Z56" i="53" s="1"/>
  <c r="Q24" i="53"/>
  <c r="V51" i="53"/>
  <c r="Z51" i="53" s="1"/>
  <c r="W39" i="53" a="1"/>
  <c r="W39" i="53" s="1"/>
  <c r="U35" i="41"/>
  <c r="Z42" i="33"/>
  <c r="L49" i="33"/>
  <c r="U49" i="33"/>
  <c r="V49" i="33" s="1"/>
  <c r="W49" i="33" s="1"/>
  <c r="Y49" i="33" s="1"/>
  <c r="U50" i="33"/>
  <c r="Z44" i="33"/>
  <c r="L51" i="33"/>
  <c r="L42" i="33"/>
  <c r="M42" i="33" s="1"/>
  <c r="N42" i="33" s="1"/>
  <c r="U51" i="33"/>
  <c r="V51" i="33" s="1"/>
  <c r="W51" i="33" s="1"/>
  <c r="Y51" i="33" s="1"/>
  <c r="U41" i="33"/>
  <c r="X41" i="46"/>
  <c r="Y41" i="46" s="1"/>
  <c r="AA41" i="46" s="1"/>
  <c r="O40" i="46"/>
  <c r="R40" i="46" s="1"/>
  <c r="Q40" i="46"/>
  <c r="O38" i="46"/>
  <c r="R38" i="46" s="1"/>
  <c r="Y36" i="46"/>
  <c r="AA36" i="46" s="1"/>
  <c r="S35" i="46"/>
  <c r="N35" i="46" a="1"/>
  <c r="N35" i="46" s="1"/>
  <c r="N36" i="46" a="1"/>
  <c r="N36" i="46" s="1"/>
  <c r="W33" i="46" a="1"/>
  <c r="W33" i="46" s="1"/>
  <c r="Q36" i="46"/>
  <c r="M48" i="33"/>
  <c r="N48" i="33" s="1"/>
  <c r="M47" i="33"/>
  <c r="N47" i="33" s="1"/>
  <c r="O48" i="33"/>
  <c r="M49" i="33"/>
  <c r="N49" i="33" s="1"/>
  <c r="M44" i="33"/>
  <c r="N44" i="33" s="1"/>
  <c r="O35" i="33"/>
  <c r="T49" i="33"/>
  <c r="X49" i="33" s="1"/>
  <c r="Z25" i="33"/>
  <c r="Q25" i="33"/>
  <c r="Z24" i="33"/>
  <c r="Q24" i="33"/>
  <c r="U34" i="33"/>
  <c r="V34" i="33" s="1"/>
  <c r="W34" i="33" s="1"/>
  <c r="Y34" i="33" s="1"/>
  <c r="Z32" i="33"/>
  <c r="Q32" i="33"/>
  <c r="Z33" i="33"/>
  <c r="U33" i="33"/>
  <c r="Z31" i="33"/>
  <c r="Q31" i="33"/>
  <c r="P99" i="48"/>
  <c r="T45" i="48"/>
  <c r="X45" i="48" s="1"/>
  <c r="T35" i="48"/>
  <c r="X35" i="48" s="1"/>
  <c r="T58" i="48"/>
  <c r="V58" i="48" s="1"/>
  <c r="W58" i="48" s="1"/>
  <c r="Y58" i="48" s="1"/>
  <c r="T52" i="48"/>
  <c r="F23" i="44"/>
  <c r="F30" i="44" s="1"/>
  <c r="D14" i="44"/>
  <c r="Z34" i="33"/>
  <c r="W32" i="46" a="1"/>
  <c r="W32" i="46" s="1"/>
  <c r="U34" i="43"/>
  <c r="R36" i="46"/>
  <c r="S32" i="46"/>
  <c r="W23" i="54"/>
  <c r="W30" i="54" s="1"/>
  <c r="D23" i="54"/>
  <c r="D30" i="54" s="1"/>
  <c r="X33" i="48"/>
  <c r="O33" i="48"/>
  <c r="M33" i="48"/>
  <c r="P33" i="48" s="1"/>
  <c r="U35" i="43"/>
  <c r="V35" i="43" s="1"/>
  <c r="W35" i="43" s="1"/>
  <c r="Y35" i="43" s="1"/>
  <c r="Q35" i="43"/>
  <c r="O35" i="43"/>
  <c r="Q42" i="41"/>
  <c r="U50" i="41"/>
  <c r="V50" i="41" s="1"/>
  <c r="W50" i="41" s="1"/>
  <c r="Y50" i="41" s="1"/>
  <c r="U42" i="41"/>
  <c r="V42" i="41" s="1"/>
  <c r="W42" i="41" s="1"/>
  <c r="Y42" i="41" s="1"/>
  <c r="V45" i="41"/>
  <c r="W45" i="41" s="1"/>
  <c r="Y45" i="41" s="1"/>
  <c r="Q50" i="41"/>
  <c r="L37" i="42"/>
  <c r="O37" i="42" s="1"/>
  <c r="L45" i="42"/>
  <c r="O45" i="42" s="1"/>
  <c r="L53" i="42"/>
  <c r="O53" i="42" s="1"/>
  <c r="L38" i="42"/>
  <c r="O38" i="42" s="1"/>
  <c r="L32" i="42"/>
  <c r="O32" i="42" s="1"/>
  <c r="L39" i="42"/>
  <c r="O39" i="42" s="1"/>
  <c r="L47" i="42"/>
  <c r="O47" i="42" s="1"/>
  <c r="L40" i="42"/>
  <c r="O40" i="42" s="1"/>
  <c r="L48" i="42"/>
  <c r="O48" i="42" s="1"/>
  <c r="L33" i="42"/>
  <c r="O33" i="42" s="1"/>
  <c r="L41" i="42"/>
  <c r="O41" i="42" s="1"/>
  <c r="L49" i="42"/>
  <c r="O49" i="42" s="1"/>
  <c r="L46" i="42"/>
  <c r="O46" i="42" s="1"/>
  <c r="L42" i="42"/>
  <c r="O42" i="42" s="1"/>
  <c r="L50" i="42"/>
  <c r="O50" i="42" s="1"/>
  <c r="T33" i="33"/>
  <c r="X33" i="33" s="1"/>
  <c r="O50" i="41"/>
  <c r="U48" i="41"/>
  <c r="V48" i="41" s="1"/>
  <c r="W48" i="41" s="1"/>
  <c r="Y48" i="41" s="1"/>
  <c r="O43" i="41"/>
  <c r="Q43" i="41"/>
  <c r="L43" i="41"/>
  <c r="M43" i="41" s="1"/>
  <c r="P43" i="41" s="1"/>
  <c r="U40" i="41"/>
  <c r="Q48" i="41"/>
  <c r="Q40" i="41"/>
  <c r="X45" i="41"/>
  <c r="X42" i="41"/>
  <c r="O41" i="41"/>
  <c r="M38" i="41"/>
  <c r="P38" i="41" s="1"/>
  <c r="O37" i="41"/>
  <c r="O40" i="41"/>
  <c r="L36" i="41"/>
  <c r="U24" i="41"/>
  <c r="U38" i="41"/>
  <c r="Q38" i="41"/>
  <c r="Q37" i="41"/>
  <c r="L37" i="41"/>
  <c r="M37" i="41" s="1"/>
  <c r="P37" i="41" s="1"/>
  <c r="U37" i="41"/>
  <c r="V37" i="41" s="1"/>
  <c r="W37" i="41" s="1"/>
  <c r="Y37" i="41" s="1"/>
  <c r="AB31" i="53"/>
  <c r="X42" i="46"/>
  <c r="Y42" i="46" s="1"/>
  <c r="AA42" i="46" s="1"/>
  <c r="Q41" i="46"/>
  <c r="X40" i="46"/>
  <c r="Y40" i="46" s="1"/>
  <c r="AA40" i="46" s="1"/>
  <c r="Q39" i="46"/>
  <c r="Q38" i="46"/>
  <c r="Q37" i="46"/>
  <c r="N32" i="46" a="1"/>
  <c r="N32" i="46" s="1"/>
  <c r="O32" i="46" s="1"/>
  <c r="R32" i="46" s="1"/>
  <c r="N33" i="46" a="1"/>
  <c r="N33" i="46" s="1"/>
  <c r="X33" i="46" s="1"/>
  <c r="Y33" i="46" s="1"/>
  <c r="AA33" i="46" s="1"/>
  <c r="S33" i="46"/>
  <c r="Q33" i="46"/>
  <c r="R19" i="37"/>
  <c r="R20" i="37"/>
  <c r="L24" i="43"/>
  <c r="M24" i="43" s="1"/>
  <c r="N24" i="43" s="1"/>
  <c r="P24" i="43" s="1"/>
  <c r="P97" i="43"/>
  <c r="T24" i="43"/>
  <c r="X24" i="43" s="1"/>
  <c r="L32" i="33"/>
  <c r="M32" i="33" s="1"/>
  <c r="N32" i="33" s="1"/>
  <c r="U32" i="33"/>
  <c r="Q32" i="46"/>
  <c r="O32" i="41"/>
  <c r="P97" i="41"/>
  <c r="T38" i="41"/>
  <c r="T47" i="41"/>
  <c r="X47" i="41" s="1"/>
  <c r="L34" i="42"/>
  <c r="O34" i="42" s="1"/>
  <c r="K33" i="19"/>
  <c r="J33" i="19"/>
  <c r="F33" i="19"/>
  <c r="E33" i="19"/>
  <c r="D60" i="19"/>
  <c r="J61" i="19"/>
  <c r="J36" i="19"/>
  <c r="L36" i="19" s="1"/>
  <c r="J37" i="19"/>
  <c r="L37" i="19" s="1"/>
  <c r="R23" i="37"/>
  <c r="U24" i="33"/>
  <c r="V49" i="53"/>
  <c r="Z49" i="53" s="1"/>
  <c r="X39" i="53"/>
  <c r="Y39" i="53" s="1"/>
  <c r="O37" i="53"/>
  <c r="X48" i="53"/>
  <c r="Y48" i="53" s="1"/>
  <c r="O40" i="53"/>
  <c r="Q40" i="53"/>
  <c r="V39" i="53"/>
  <c r="Z39" i="53" s="1"/>
  <c r="V43" i="53"/>
  <c r="Z43" i="53" s="1"/>
  <c r="V47" i="53"/>
  <c r="Z47" i="53" s="1"/>
  <c r="O52" i="53"/>
  <c r="O60" i="53"/>
  <c r="X54" i="53"/>
  <c r="Y54" i="53" s="1"/>
  <c r="O53" i="53"/>
  <c r="X55" i="53"/>
  <c r="Y55" i="53" s="1"/>
  <c r="X45" i="53"/>
  <c r="Y45" i="53" s="1"/>
  <c r="Q38" i="53"/>
  <c r="V40" i="53"/>
  <c r="Z40" i="53" s="1"/>
  <c r="V44" i="53"/>
  <c r="Z44" i="53" s="1"/>
  <c r="V48" i="53"/>
  <c r="Z48" i="53" s="1"/>
  <c r="Q58" i="53"/>
  <c r="O54" i="53"/>
  <c r="Q47" i="53"/>
  <c r="O55" i="53"/>
  <c r="X57" i="53"/>
  <c r="Y57" i="53" s="1"/>
  <c r="Q42" i="53"/>
  <c r="X50" i="53"/>
  <c r="Y50" i="53" s="1"/>
  <c r="X58" i="53"/>
  <c r="Y58" i="53" s="1"/>
  <c r="X38" i="53"/>
  <c r="Y38" i="53" s="1"/>
  <c r="Q53" i="53"/>
  <c r="V52" i="53"/>
  <c r="Z52" i="53" s="1"/>
  <c r="Q60" i="53"/>
  <c r="X51" i="53"/>
  <c r="Y51" i="53" s="1"/>
  <c r="X59" i="53"/>
  <c r="Y59" i="53" s="1"/>
  <c r="O50" i="53"/>
  <c r="O58" i="53"/>
  <c r="X60" i="53"/>
  <c r="Y60" i="53" s="1"/>
  <c r="Q55" i="53"/>
  <c r="X53" i="53"/>
  <c r="Y53" i="53" s="1"/>
  <c r="Y25" i="46"/>
  <c r="AA25" i="46" s="1"/>
  <c r="V59" i="46"/>
  <c r="T25" i="54"/>
  <c r="X25" i="54" s="1"/>
  <c r="R23" i="54"/>
  <c r="R30" i="54" s="1"/>
  <c r="D12" i="54"/>
  <c r="M38" i="43"/>
  <c r="T38" i="43"/>
  <c r="X37" i="41"/>
  <c r="L33" i="33"/>
  <c r="M33" i="33" s="1"/>
  <c r="N33" i="33" s="1"/>
  <c r="U35" i="33"/>
  <c r="V35" i="33" s="1"/>
  <c r="W35" i="33" s="1"/>
  <c r="Y35" i="33" s="1"/>
  <c r="T24" i="33"/>
  <c r="X24" i="33" s="1"/>
  <c r="U31" i="48" a="1"/>
  <c r="U31" i="48" s="1"/>
  <c r="L31" i="48" a="1"/>
  <c r="L31" i="48" s="1"/>
  <c r="M31" i="48" s="1"/>
  <c r="P31" i="48" s="1"/>
  <c r="U25" i="43"/>
  <c r="Q31" i="48"/>
  <c r="Q21" i="37"/>
  <c r="I61" i="19"/>
  <c r="D61" i="19" s="1"/>
  <c r="J35" i="19"/>
  <c r="L35" i="19" s="1"/>
  <c r="J34" i="19"/>
  <c r="L34" i="19" s="1"/>
  <c r="V36" i="53"/>
  <c r="Z36" i="53" s="1"/>
  <c r="S36" i="53"/>
  <c r="O36" i="53"/>
  <c r="R36" i="53" s="1"/>
  <c r="Q47" i="46"/>
  <c r="O35" i="46"/>
  <c r="X45" i="46"/>
  <c r="Y45" i="46" s="1"/>
  <c r="AA45" i="46" s="1"/>
  <c r="Q45" i="46"/>
  <c r="X49" i="46"/>
  <c r="Y49" i="46" s="1"/>
  <c r="AA49" i="46" s="1"/>
  <c r="O58" i="46"/>
  <c r="R58" i="46" s="1"/>
  <c r="Q51" i="46"/>
  <c r="O59" i="46"/>
  <c r="R59" i="46" s="1"/>
  <c r="O39" i="46"/>
  <c r="R39" i="46" s="1"/>
  <c r="Q43" i="46"/>
  <c r="O60" i="46"/>
  <c r="R60" i="46" s="1"/>
  <c r="X58" i="46"/>
  <c r="Y58" i="46" s="1"/>
  <c r="AA58" i="46" s="1"/>
  <c r="O43" i="46"/>
  <c r="R43" i="46" s="1"/>
  <c r="O51" i="46"/>
  <c r="R51" i="46" s="1"/>
  <c r="X43" i="46"/>
  <c r="Y43" i="46" s="1"/>
  <c r="AA43" i="46" s="1"/>
  <c r="X51" i="46"/>
  <c r="Y51" i="46" s="1"/>
  <c r="AA51" i="46" s="1"/>
  <c r="Q35" i="46"/>
  <c r="X35" i="46"/>
  <c r="Y35" i="46" s="1"/>
  <c r="AA35" i="46" s="1"/>
  <c r="X60" i="46"/>
  <c r="Y60" i="46" s="1"/>
  <c r="AA60" i="46" s="1"/>
  <c r="V25" i="46"/>
  <c r="Z25" i="46" s="1"/>
  <c r="V24" i="46"/>
  <c r="Z24" i="46" s="1"/>
  <c r="U34" i="41"/>
  <c r="L57" i="41"/>
  <c r="M57" i="41" s="1"/>
  <c r="P57" i="41" s="1"/>
  <c r="U36" i="41"/>
  <c r="L49" i="41"/>
  <c r="M49" i="41" s="1"/>
  <c r="P49" i="41" s="1"/>
  <c r="L58" i="41"/>
  <c r="M58" i="41" s="1"/>
  <c r="P58" i="41" s="1"/>
  <c r="Q57" i="41"/>
  <c r="L41" i="41"/>
  <c r="M41" i="41" s="1"/>
  <c r="P41" i="41" s="1"/>
  <c r="L50" i="41"/>
  <c r="M50" i="41" s="1"/>
  <c r="P50" i="41" s="1"/>
  <c r="U57" i="41"/>
  <c r="L42" i="41"/>
  <c r="M42" i="41" s="1"/>
  <c r="P42" i="41" s="1"/>
  <c r="U49" i="41"/>
  <c r="U58" i="41"/>
  <c r="V58" i="41" s="1"/>
  <c r="W58" i="41" s="1"/>
  <c r="Y58" i="41" s="1"/>
  <c r="Z33" i="41"/>
  <c r="L39" i="41"/>
  <c r="M39" i="41" s="1"/>
  <c r="P39" i="41" s="1"/>
  <c r="L47" i="41"/>
  <c r="M47" i="41" s="1"/>
  <c r="P47" i="41" s="1"/>
  <c r="L55" i="41"/>
  <c r="M55" i="41" s="1"/>
  <c r="P55" i="41" s="1"/>
  <c r="Z39" i="41"/>
  <c r="Z47" i="41"/>
  <c r="Z55" i="41"/>
  <c r="Q39" i="41"/>
  <c r="Q47" i="41"/>
  <c r="Q55" i="41"/>
  <c r="U55" i="41"/>
  <c r="V55" i="41" s="1"/>
  <c r="W55" i="41" s="1"/>
  <c r="Y55" i="41" s="1"/>
  <c r="X41" i="41"/>
  <c r="V41" i="41"/>
  <c r="W41" i="41" s="1"/>
  <c r="Y41" i="41" s="1"/>
  <c r="X49" i="41"/>
  <c r="V49" i="41"/>
  <c r="W49" i="41" s="1"/>
  <c r="Y49" i="41" s="1"/>
  <c r="V56" i="41"/>
  <c r="W56" i="41" s="1"/>
  <c r="Y56" i="41" s="1"/>
  <c r="V57" i="41"/>
  <c r="W57" i="41" s="1"/>
  <c r="Y57" i="41" s="1"/>
  <c r="V39" i="41"/>
  <c r="W39" i="41" s="1"/>
  <c r="Y39" i="41" s="1"/>
  <c r="O39" i="41"/>
  <c r="V59" i="41"/>
  <c r="W59" i="41" s="1"/>
  <c r="Y59" i="41" s="1"/>
  <c r="O45" i="41"/>
  <c r="M45" i="41"/>
  <c r="P45" i="41" s="1"/>
  <c r="V40" i="41"/>
  <c r="W40" i="41" s="1"/>
  <c r="Y40" i="41" s="1"/>
  <c r="T36" i="41"/>
  <c r="M36" i="41"/>
  <c r="P36" i="41" s="1"/>
  <c r="O42" i="41"/>
  <c r="O31" i="41"/>
  <c r="T40" i="33"/>
  <c r="X40" i="33" s="1"/>
  <c r="V54" i="33"/>
  <c r="W54" i="33" s="1"/>
  <c r="Y54" i="33" s="1"/>
  <c r="L53" i="33"/>
  <c r="M53" i="33" s="1"/>
  <c r="V50" i="33"/>
  <c r="W50" i="33" s="1"/>
  <c r="Y50" i="33" s="1"/>
  <c r="L46" i="33"/>
  <c r="M46" i="33" s="1"/>
  <c r="N46" i="33" s="1"/>
  <c r="U53" i="33"/>
  <c r="V53" i="33" s="1"/>
  <c r="W53" i="33" s="1"/>
  <c r="Y53" i="33" s="1"/>
  <c r="U45" i="33"/>
  <c r="V45" i="33" s="1"/>
  <c r="W45" i="33" s="1"/>
  <c r="Y45" i="33" s="1"/>
  <c r="U54" i="33"/>
  <c r="Z39" i="33"/>
  <c r="L45" i="33"/>
  <c r="M45" i="33" s="1"/>
  <c r="N45" i="33" s="1"/>
  <c r="U46" i="33"/>
  <c r="V46" i="33" s="1"/>
  <c r="W46" i="33" s="1"/>
  <c r="Y46" i="33" s="1"/>
  <c r="L54" i="33"/>
  <c r="M54" i="33" s="1"/>
  <c r="U57" i="33"/>
  <c r="V57" i="33" s="1"/>
  <c r="W57" i="33" s="1"/>
  <c r="Y57" i="33" s="1"/>
  <c r="U47" i="33"/>
  <c r="V47" i="33" s="1"/>
  <c r="W47" i="33" s="1"/>
  <c r="Y47" i="33" s="1"/>
  <c r="U55" i="33"/>
  <c r="Z47" i="33"/>
  <c r="Z55" i="33"/>
  <c r="X60" i="33"/>
  <c r="V60" i="33"/>
  <c r="W60" i="33" s="1"/>
  <c r="Y60" i="33" s="1"/>
  <c r="V48" i="33"/>
  <c r="W48" i="33" s="1"/>
  <c r="Y48" i="33" s="1"/>
  <c r="X48" i="33"/>
  <c r="X55" i="33"/>
  <c r="V55" i="33"/>
  <c r="W55" i="33" s="1"/>
  <c r="Y55" i="33" s="1"/>
  <c r="X52" i="33"/>
  <c r="V52" i="33"/>
  <c r="W52" i="33" s="1"/>
  <c r="Y52" i="33" s="1"/>
  <c r="O57" i="33"/>
  <c r="O51" i="33"/>
  <c r="M51" i="33"/>
  <c r="N51" i="33" s="1"/>
  <c r="B53" i="39"/>
  <c r="R18" i="37"/>
  <c r="R21" i="37"/>
  <c r="R22" i="37"/>
  <c r="T20" i="37"/>
  <c r="T23" i="37"/>
  <c r="U24" i="48" a="1"/>
  <c r="U24" i="48" s="1"/>
  <c r="V24" i="48" s="1"/>
  <c r="W24" i="48" s="1"/>
  <c r="Y24" i="48" s="1"/>
  <c r="T19" i="37"/>
  <c r="S22" i="37"/>
  <c r="M405" i="37"/>
  <c r="S21" i="37"/>
  <c r="M404" i="37"/>
  <c r="W33" i="53" a="1"/>
  <c r="W33" i="53" s="1"/>
  <c r="Q18" i="37"/>
  <c r="Q22" i="37"/>
  <c r="Q23" i="37"/>
  <c r="Y97" i="43"/>
  <c r="M414" i="37"/>
  <c r="K24" i="42"/>
  <c r="L24" i="42" s="1"/>
  <c r="M24" i="42" s="1"/>
  <c r="S33" i="53"/>
  <c r="N32" i="53" a="1"/>
  <c r="N32" i="53" s="1"/>
  <c r="S35" i="53"/>
  <c r="S34" i="53"/>
  <c r="S19" i="37"/>
  <c r="B52" i="39"/>
  <c r="B20" i="39"/>
  <c r="U24" i="54" a="1"/>
  <c r="U24" i="54" s="1"/>
  <c r="V24" i="54" s="1"/>
  <c r="W24" i="54" s="1"/>
  <c r="Y24" i="54" s="1"/>
  <c r="N35" i="53" a="1"/>
  <c r="N35" i="53" s="1"/>
  <c r="O35" i="53" s="1"/>
  <c r="R35" i="53" s="1"/>
  <c r="U25" i="48" a="1"/>
  <c r="U25" i="48" s="1"/>
  <c r="N34" i="53" a="1"/>
  <c r="N34" i="53" s="1"/>
  <c r="O34" i="53" s="1"/>
  <c r="R34" i="53" s="1"/>
  <c r="N33" i="53" a="1"/>
  <c r="N33" i="53" s="1"/>
  <c r="Z25" i="43"/>
  <c r="U25" i="54" a="1"/>
  <c r="U25" i="54" s="1"/>
  <c r="V25" i="54" s="1"/>
  <c r="W25" i="54" s="1"/>
  <c r="Y25" i="54" s="1"/>
  <c r="W25" i="53" a="1"/>
  <c r="W25" i="53" s="1"/>
  <c r="T21" i="37"/>
  <c r="S20" i="37"/>
  <c r="T22" i="37"/>
  <c r="B51" i="39"/>
  <c r="S32" i="53"/>
  <c r="L24" i="33"/>
  <c r="M24" i="33" s="1"/>
  <c r="W25" i="46" a="1"/>
  <c r="W25" i="46" s="1"/>
  <c r="T18" i="37"/>
  <c r="S23" i="37"/>
  <c r="M410" i="37"/>
  <c r="Q32" i="53"/>
  <c r="Q35" i="53"/>
  <c r="W32" i="53" a="1"/>
  <c r="W32" i="53" s="1"/>
  <c r="Q33" i="53"/>
  <c r="V32" i="53"/>
  <c r="Z32" i="53" s="1"/>
  <c r="T61" i="48"/>
  <c r="T60" i="48"/>
  <c r="T50" i="48"/>
  <c r="X50" i="48" s="1"/>
  <c r="X36" i="48"/>
  <c r="V59" i="48"/>
  <c r="W59" i="48" s="1"/>
  <c r="Y59" i="48" s="1"/>
  <c r="X54" i="48"/>
  <c r="U59" i="48" a="1"/>
  <c r="U59" i="48" s="1"/>
  <c r="O59" i="48"/>
  <c r="O44" i="48"/>
  <c r="O54" i="48"/>
  <c r="M42" i="48"/>
  <c r="P42" i="48" s="1"/>
  <c r="M50" i="48"/>
  <c r="P50" i="48" s="1"/>
  <c r="M58" i="48"/>
  <c r="P58" i="48" s="1"/>
  <c r="U38" i="48" a="1"/>
  <c r="U38" i="48" s="1"/>
  <c r="V38" i="48" s="1"/>
  <c r="W38" i="48" s="1"/>
  <c r="Y38" i="48" s="1"/>
  <c r="U34" i="48" a="1"/>
  <c r="U34" i="48" s="1"/>
  <c r="V34" i="48" s="1"/>
  <c r="W34" i="48" s="1"/>
  <c r="Y34" i="48" s="1"/>
  <c r="U44" i="48" a="1"/>
  <c r="U44" i="48" s="1"/>
  <c r="V44" i="48" s="1"/>
  <c r="W44" i="48" s="1"/>
  <c r="Y44" i="48" s="1"/>
  <c r="U52" i="48" a="1"/>
  <c r="U52" i="48" s="1"/>
  <c r="V52" i="48" s="1"/>
  <c r="W52" i="48" s="1"/>
  <c r="Y52" i="48" s="1"/>
  <c r="U60" i="48" a="1"/>
  <c r="U60" i="48" s="1"/>
  <c r="V60" i="48" s="1"/>
  <c r="W60" i="48" s="1"/>
  <c r="Y60" i="48" s="1"/>
  <c r="O53" i="48"/>
  <c r="U32" i="48" a="1"/>
  <c r="U32" i="48" s="1"/>
  <c r="O48" i="48"/>
  <c r="O60" i="48"/>
  <c r="X43" i="48"/>
  <c r="X47" i="48"/>
  <c r="X51" i="48"/>
  <c r="X55" i="48"/>
  <c r="X59" i="48"/>
  <c r="M43" i="48"/>
  <c r="P43" i="48" s="1"/>
  <c r="V50" i="48"/>
  <c r="W50" i="48" s="1"/>
  <c r="Y50" i="48" s="1"/>
  <c r="U45" i="48" a="1"/>
  <c r="U45" i="48" s="1"/>
  <c r="V45" i="48" s="1"/>
  <c r="W45" i="48" s="1"/>
  <c r="Y45" i="48" s="1"/>
  <c r="U53" i="48" a="1"/>
  <c r="U53" i="48" s="1"/>
  <c r="T40" i="48"/>
  <c r="T42" i="48"/>
  <c r="M44" i="48"/>
  <c r="P44" i="48" s="1"/>
  <c r="M52" i="48"/>
  <c r="P52" i="48" s="1"/>
  <c r="U46" i="48" a="1"/>
  <c r="U46" i="48" s="1"/>
  <c r="V46" i="48" s="1"/>
  <c r="W46" i="48" s="1"/>
  <c r="Y46" i="48" s="1"/>
  <c r="U54" i="48" a="1"/>
  <c r="U54" i="48" s="1"/>
  <c r="V54" i="48" s="1"/>
  <c r="W54" i="48" s="1"/>
  <c r="Y54" i="48" s="1"/>
  <c r="M41" i="48"/>
  <c r="P41" i="48" s="1"/>
  <c r="X44" i="48"/>
  <c r="X52" i="48"/>
  <c r="X60" i="48"/>
  <c r="M45" i="48"/>
  <c r="P45" i="48" s="1"/>
  <c r="M53" i="48"/>
  <c r="P53" i="48" s="1"/>
  <c r="V35" i="48"/>
  <c r="W35" i="48" s="1"/>
  <c r="Y35" i="48" s="1"/>
  <c r="U47" i="48" a="1"/>
  <c r="U47" i="48" s="1"/>
  <c r="V47" i="48" s="1"/>
  <c r="W47" i="48" s="1"/>
  <c r="Y47" i="48" s="1"/>
  <c r="U55" i="48" a="1"/>
  <c r="U55" i="48" s="1"/>
  <c r="V55" i="48" s="1"/>
  <c r="W55" i="48" s="1"/>
  <c r="Y55" i="48" s="1"/>
  <c r="O41" i="48"/>
  <c r="O40" i="48"/>
  <c r="M46" i="48"/>
  <c r="P46" i="48" s="1"/>
  <c r="M54" i="48"/>
  <c r="P54" i="48" s="1"/>
  <c r="U36" i="48" a="1"/>
  <c r="U36" i="48" s="1"/>
  <c r="V36" i="48" s="1"/>
  <c r="W36" i="48" s="1"/>
  <c r="Y36" i="48" s="1"/>
  <c r="V53" i="48"/>
  <c r="W53" i="48" s="1"/>
  <c r="Y53" i="48" s="1"/>
  <c r="U40" i="48" a="1"/>
  <c r="U40" i="48" s="1"/>
  <c r="U48" i="48" a="1"/>
  <c r="U48" i="48" s="1"/>
  <c r="V48" i="48" s="1"/>
  <c r="W48" i="48" s="1"/>
  <c r="Y48" i="48" s="1"/>
  <c r="U56" i="48" a="1"/>
  <c r="U56" i="48" s="1"/>
  <c r="V56" i="48" s="1"/>
  <c r="W56" i="48" s="1"/>
  <c r="Y56" i="48" s="1"/>
  <c r="X37" i="48"/>
  <c r="M55" i="48"/>
  <c r="P55" i="48" s="1"/>
  <c r="U41" i="48" a="1"/>
  <c r="U41" i="48" s="1"/>
  <c r="V41" i="48" s="1"/>
  <c r="W41" i="48" s="1"/>
  <c r="Y41" i="48" s="1"/>
  <c r="U49" i="48" a="1"/>
  <c r="U49" i="48" s="1"/>
  <c r="V49" i="48" s="1"/>
  <c r="W49" i="48" s="1"/>
  <c r="Y49" i="48" s="1"/>
  <c r="U57" i="48" a="1"/>
  <c r="U57" i="48" s="1"/>
  <c r="V57" i="48" s="1"/>
  <c r="W57" i="48" s="1"/>
  <c r="Y57" i="48" s="1"/>
  <c r="O42" i="48"/>
  <c r="M48" i="48"/>
  <c r="P48" i="48" s="1"/>
  <c r="M56" i="48"/>
  <c r="P56" i="48" s="1"/>
  <c r="V61" i="48"/>
  <c r="W61" i="48" s="1"/>
  <c r="Y61" i="48" s="1"/>
  <c r="X61" i="48"/>
  <c r="M61" i="48"/>
  <c r="P61" i="48" s="1"/>
  <c r="T41" i="54"/>
  <c r="X41" i="54" s="1"/>
  <c r="T43" i="54"/>
  <c r="X43" i="54" s="1"/>
  <c r="T48" i="54"/>
  <c r="T49" i="54"/>
  <c r="X49" i="54" s="1"/>
  <c r="U37" i="54" a="1"/>
  <c r="U37" i="54" s="1"/>
  <c r="U45" i="54" a="1"/>
  <c r="U45" i="54" s="1"/>
  <c r="V45" i="54" s="1"/>
  <c r="W45" i="54" s="1"/>
  <c r="Y45" i="54" s="1"/>
  <c r="O45" i="54"/>
  <c r="O57" i="54"/>
  <c r="U53" i="54" a="1"/>
  <c r="U53" i="54" s="1"/>
  <c r="V53" i="54" s="1"/>
  <c r="W53" i="54" s="1"/>
  <c r="Y53" i="54" s="1"/>
  <c r="O53" i="54"/>
  <c r="O31" i="54"/>
  <c r="O48" i="54"/>
  <c r="O49" i="54"/>
  <c r="T44" i="54"/>
  <c r="X44" i="54" s="1"/>
  <c r="T31" i="54"/>
  <c r="X31" i="54" s="1"/>
  <c r="T37" i="54"/>
  <c r="T47" i="54"/>
  <c r="T57" i="54"/>
  <c r="X57" i="54" s="1"/>
  <c r="T52" i="54"/>
  <c r="T56" i="54"/>
  <c r="V56" i="54" s="1"/>
  <c r="W56" i="54" s="1"/>
  <c r="Y56" i="54" s="1"/>
  <c r="P44" i="44"/>
  <c r="P47" i="44"/>
  <c r="P42" i="44"/>
  <c r="P50" i="44"/>
  <c r="P45" i="44"/>
  <c r="V48" i="54"/>
  <c r="W48" i="54" s="1"/>
  <c r="Y48" i="54" s="1"/>
  <c r="X40" i="54"/>
  <c r="X33" i="54"/>
  <c r="X39" i="54"/>
  <c r="T51" i="54"/>
  <c r="T55" i="54"/>
  <c r="T59" i="54"/>
  <c r="X47" i="54"/>
  <c r="U38" i="54" a="1"/>
  <c r="U38" i="54" s="1"/>
  <c r="V38" i="54" s="1"/>
  <c r="W38" i="54" s="1"/>
  <c r="Y38" i="54" s="1"/>
  <c r="U46" i="54" a="1"/>
  <c r="U46" i="54" s="1"/>
  <c r="U54" i="54" a="1"/>
  <c r="U54" i="54" s="1"/>
  <c r="V54" i="54" s="1"/>
  <c r="W54" i="54" s="1"/>
  <c r="Y54" i="54" s="1"/>
  <c r="V43" i="54"/>
  <c r="W43" i="54" s="1"/>
  <c r="Y43" i="54" s="1"/>
  <c r="O32" i="54"/>
  <c r="O33" i="54"/>
  <c r="O34" i="54"/>
  <c r="O35" i="54"/>
  <c r="X37" i="54"/>
  <c r="X45" i="54"/>
  <c r="X53" i="54"/>
  <c r="U32" i="54" a="1"/>
  <c r="U32" i="54" s="1"/>
  <c r="V32" i="54" s="1"/>
  <c r="W32" i="54" s="1"/>
  <c r="Y32" i="54" s="1"/>
  <c r="U40" i="54" a="1"/>
  <c r="U40" i="54" s="1"/>
  <c r="V40" i="54" s="1"/>
  <c r="W40" i="54" s="1"/>
  <c r="Y40" i="54" s="1"/>
  <c r="U39" i="54" a="1"/>
  <c r="U39" i="54" s="1"/>
  <c r="V39" i="54" s="1"/>
  <c r="W39" i="54" s="1"/>
  <c r="Y39" i="54" s="1"/>
  <c r="U47" i="54" a="1"/>
  <c r="U47" i="54" s="1"/>
  <c r="V47" i="54" s="1"/>
  <c r="W47" i="54" s="1"/>
  <c r="Y47" i="54" s="1"/>
  <c r="U55" i="54" a="1"/>
  <c r="U55" i="54" s="1"/>
  <c r="O38" i="54"/>
  <c r="O39" i="54"/>
  <c r="X32" i="54"/>
  <c r="X48" i="54"/>
  <c r="X56" i="54"/>
  <c r="U33" i="54" a="1"/>
  <c r="U33" i="54" s="1"/>
  <c r="V33" i="54" s="1"/>
  <c r="W33" i="54" s="1"/>
  <c r="Y33" i="54" s="1"/>
  <c r="U41" i="54" a="1"/>
  <c r="U41" i="54" s="1"/>
  <c r="V41" i="54" s="1"/>
  <c r="W41" i="54" s="1"/>
  <c r="Y41" i="54" s="1"/>
  <c r="O36" i="54"/>
  <c r="O42" i="54"/>
  <c r="O60" i="54"/>
  <c r="U34" i="54" a="1"/>
  <c r="U34" i="54" s="1"/>
  <c r="V34" i="54" s="1"/>
  <c r="W34" i="54" s="1"/>
  <c r="Y34" i="54" s="1"/>
  <c r="U42" i="54" a="1"/>
  <c r="U42" i="54" s="1"/>
  <c r="V42" i="54" s="1"/>
  <c r="W42" i="54" s="1"/>
  <c r="Y42" i="54" s="1"/>
  <c r="U50" i="54" a="1"/>
  <c r="U50" i="54" s="1"/>
  <c r="V50" i="54" s="1"/>
  <c r="W50" i="54" s="1"/>
  <c r="Y50" i="54" s="1"/>
  <c r="U58" i="54" a="1"/>
  <c r="U58" i="54" s="1"/>
  <c r="V58" i="54" s="1"/>
  <c r="W58" i="54" s="1"/>
  <c r="Y58" i="54" s="1"/>
  <c r="V46" i="54"/>
  <c r="W46" i="54" s="1"/>
  <c r="Y46" i="54" s="1"/>
  <c r="T35" i="54"/>
  <c r="T36" i="54"/>
  <c r="O40" i="54"/>
  <c r="O43" i="54"/>
  <c r="O46" i="54"/>
  <c r="O50" i="54"/>
  <c r="O54" i="54"/>
  <c r="O58" i="54"/>
  <c r="O59" i="54"/>
  <c r="U51" i="54" a="1"/>
  <c r="U51" i="54" s="1"/>
  <c r="O44" i="54"/>
  <c r="T60" i="54"/>
  <c r="T31" i="48"/>
  <c r="O31" i="48"/>
  <c r="U31" i="41"/>
  <c r="V31" i="41" s="1"/>
  <c r="W31" i="41" s="1"/>
  <c r="Y31" i="41" s="1"/>
  <c r="L31" i="42"/>
  <c r="R23" i="33"/>
  <c r="R30" i="33" s="1"/>
  <c r="D15" i="33"/>
  <c r="B49" i="39"/>
  <c r="E24" i="59"/>
  <c r="D30" i="19"/>
  <c r="K32" i="19"/>
  <c r="D28" i="19"/>
  <c r="D26" i="19"/>
  <c r="D24" i="19"/>
  <c r="L34" i="43"/>
  <c r="M34" i="43" s="1"/>
  <c r="P34" i="43" s="1"/>
  <c r="U43" i="33"/>
  <c r="V43" i="33" s="1"/>
  <c r="W43" i="33" s="1"/>
  <c r="Y43" i="33" s="1"/>
  <c r="V42" i="33"/>
  <c r="W42" i="33" s="1"/>
  <c r="Y42" i="33" s="1"/>
  <c r="L39" i="33"/>
  <c r="M39" i="33" s="1"/>
  <c r="N39" i="33" s="1"/>
  <c r="L31" i="33"/>
  <c r="M31" i="33" s="1"/>
  <c r="N31" i="33" s="1"/>
  <c r="U31" i="33"/>
  <c r="V31" i="33" s="1"/>
  <c r="W31" i="33" s="1"/>
  <c r="Y31" i="33" s="1"/>
  <c r="U40" i="33"/>
  <c r="V40" i="33" s="1"/>
  <c r="W40" i="33" s="1"/>
  <c r="Y40" i="33" s="1"/>
  <c r="V44" i="33"/>
  <c r="W44" i="33" s="1"/>
  <c r="Y44" i="33" s="1"/>
  <c r="O44" i="33"/>
  <c r="D4" i="19"/>
  <c r="D14" i="19"/>
  <c r="E15" i="59"/>
  <c r="E22" i="59"/>
  <c r="D12" i="59"/>
  <c r="E21" i="59"/>
  <c r="E20" i="59"/>
  <c r="E16" i="59"/>
  <c r="D14" i="59"/>
  <c r="E27" i="59"/>
  <c r="E29" i="59"/>
  <c r="E19" i="59"/>
  <c r="D4" i="59"/>
  <c r="E26" i="59"/>
  <c r="E14" i="59"/>
  <c r="E18" i="59"/>
  <c r="E23" i="59"/>
  <c r="E28" i="59"/>
  <c r="D193" i="37"/>
  <c r="D173" i="37"/>
  <c r="D68" i="37"/>
  <c r="O23" i="44"/>
  <c r="O30" i="44" s="1"/>
  <c r="D183" i="37"/>
  <c r="P23" i="54"/>
  <c r="P30" i="54" s="1"/>
  <c r="J23" i="46"/>
  <c r="J30" i="46" s="1"/>
  <c r="N23" i="44"/>
  <c r="Z23" i="48"/>
  <c r="Z30" i="48" s="1"/>
  <c r="P23" i="46"/>
  <c r="P30" i="46" s="1"/>
  <c r="I23" i="44"/>
  <c r="I30" i="44" s="1"/>
  <c r="F23" i="54"/>
  <c r="F30" i="54" s="1"/>
  <c r="D15" i="44"/>
  <c r="H23" i="46"/>
  <c r="H30" i="46" s="1"/>
  <c r="L23" i="46"/>
  <c r="L30" i="46" s="1"/>
  <c r="D4" i="37"/>
  <c r="Z23" i="46"/>
  <c r="Z30" i="46" s="1"/>
  <c r="G23" i="54"/>
  <c r="G30" i="54" s="1"/>
  <c r="F23" i="46"/>
  <c r="F30" i="46" s="1"/>
  <c r="E23" i="44"/>
  <c r="E30" i="44" s="1"/>
  <c r="D135" i="37"/>
  <c r="D14" i="37"/>
  <c r="AA23" i="46"/>
  <c r="AA30" i="46" s="1"/>
  <c r="Y23" i="46"/>
  <c r="Y30" i="46" s="1"/>
  <c r="V22" i="46"/>
  <c r="D22" i="44"/>
  <c r="G23" i="46"/>
  <c r="G30" i="46" s="1"/>
  <c r="N25" i="46" a="1"/>
  <c r="N25" i="46" s="1"/>
  <c r="U33" i="43"/>
  <c r="V33" i="43" s="1"/>
  <c r="W33" i="43" s="1"/>
  <c r="Y33" i="43" s="1"/>
  <c r="L33" i="43"/>
  <c r="M33" i="43" s="1"/>
  <c r="P33" i="43" s="1"/>
  <c r="Q33" i="43"/>
  <c r="Z33" i="43"/>
  <c r="L35" i="41"/>
  <c r="M35" i="41" s="1"/>
  <c r="P35" i="41" s="1"/>
  <c r="L25" i="41"/>
  <c r="M25" i="41" s="1"/>
  <c r="L33" i="41"/>
  <c r="M33" i="41" s="1"/>
  <c r="P33" i="41" s="1"/>
  <c r="L24" i="41"/>
  <c r="M24" i="41" s="1"/>
  <c r="L34" i="41"/>
  <c r="M34" i="41" s="1"/>
  <c r="P34" i="41" s="1"/>
  <c r="L32" i="41"/>
  <c r="M32" i="41" s="1"/>
  <c r="M31" i="41"/>
  <c r="P31" i="41" s="1"/>
  <c r="S31" i="53"/>
  <c r="Q35" i="41"/>
  <c r="N25" i="53" a="1"/>
  <c r="N25" i="53" s="1"/>
  <c r="Q25" i="53"/>
  <c r="V25" i="53"/>
  <c r="Z25" i="53" s="1"/>
  <c r="Q31" i="43"/>
  <c r="N31" i="46" a="1"/>
  <c r="N31" i="46" s="1"/>
  <c r="Q24" i="48"/>
  <c r="Q24" i="41"/>
  <c r="N34" i="46" a="1"/>
  <c r="N34" i="46" s="1"/>
  <c r="P25" i="42"/>
  <c r="B54" i="39"/>
  <c r="M416" i="37"/>
  <c r="Q33" i="41"/>
  <c r="N31" i="53" a="1"/>
  <c r="N31" i="53" s="1"/>
  <c r="Q24" i="54"/>
  <c r="S25" i="53"/>
  <c r="P40" i="33"/>
  <c r="K25" i="42"/>
  <c r="L25" i="42" s="1"/>
  <c r="T32" i="43"/>
  <c r="X32" i="43" s="1"/>
  <c r="L25" i="43"/>
  <c r="M25" i="43" s="1"/>
  <c r="N25" i="43" s="1"/>
  <c r="M417" i="37"/>
  <c r="Q32" i="41"/>
  <c r="N24" i="46" a="1"/>
  <c r="N24" i="46" s="1"/>
  <c r="X24" i="46" s="1"/>
  <c r="Y24" i="46" s="1"/>
  <c r="AA24" i="46" s="1"/>
  <c r="Q25" i="54"/>
  <c r="Q25" i="45"/>
  <c r="Q34" i="43"/>
  <c r="L406" i="37"/>
  <c r="M411" i="37"/>
  <c r="M418" i="37"/>
  <c r="L24" i="48" a="1"/>
  <c r="L24" i="48" s="1"/>
  <c r="M24" i="48" s="1"/>
  <c r="N24" i="48" s="1" a="1"/>
  <c r="N24" i="48" s="1"/>
  <c r="P31" i="42"/>
  <c r="T25" i="43"/>
  <c r="O25" i="43"/>
  <c r="M412" i="37"/>
  <c r="L32" i="43"/>
  <c r="M32" i="43" s="1"/>
  <c r="P32" i="43" s="1"/>
  <c r="U32" i="43"/>
  <c r="U24" i="43"/>
  <c r="Z24" i="43"/>
  <c r="P32" i="42"/>
  <c r="L34" i="33"/>
  <c r="M34" i="33" s="1"/>
  <c r="N34" i="33" s="1"/>
  <c r="Q34" i="41"/>
  <c r="N24" i="53" a="1"/>
  <c r="N24" i="53" s="1"/>
  <c r="S24" i="53"/>
  <c r="Q25" i="41"/>
  <c r="P24" i="42"/>
  <c r="Q32" i="45"/>
  <c r="L43" i="33"/>
  <c r="M43" i="33" s="1"/>
  <c r="N43" i="33" s="1"/>
  <c r="O33" i="43"/>
  <c r="L41" i="33"/>
  <c r="M41" i="33" s="1"/>
  <c r="N41" i="33" s="1"/>
  <c r="L24" i="54" a="1"/>
  <c r="L24" i="54" s="1"/>
  <c r="O24" i="41"/>
  <c r="T24" i="41"/>
  <c r="X24" i="41" s="1"/>
  <c r="L31" i="45"/>
  <c r="L24" i="45"/>
  <c r="M24" i="45" s="1"/>
  <c r="L25" i="45"/>
  <c r="M25" i="45" s="1"/>
  <c r="L31" i="43"/>
  <c r="M31" i="43" s="1"/>
  <c r="P31" i="43" s="1"/>
  <c r="Z31" i="43"/>
  <c r="U31" i="43"/>
  <c r="Q32" i="43"/>
  <c r="S24" i="46"/>
  <c r="Q31" i="45"/>
  <c r="Q24" i="43"/>
  <c r="S34" i="46"/>
  <c r="Q25" i="48"/>
  <c r="Q25" i="43"/>
  <c r="T37" i="33"/>
  <c r="X37" i="33" s="1"/>
  <c r="P39" i="44"/>
  <c r="M408" i="37"/>
  <c r="M421" i="37"/>
  <c r="L25" i="54" a="1"/>
  <c r="L25" i="54" s="1"/>
  <c r="L25" i="48" a="1"/>
  <c r="L25" i="48" s="1"/>
  <c r="M25" i="48" s="1"/>
  <c r="T25" i="48"/>
  <c r="X25" i="48" s="1"/>
  <c r="U32" i="41"/>
  <c r="V32" i="41" s="1"/>
  <c r="W32" i="41" s="1"/>
  <c r="Y32" i="41" s="1"/>
  <c r="Q23" i="54"/>
  <c r="Q30" i="54" s="1"/>
  <c r="N23" i="48"/>
  <c r="N30" i="48" s="1"/>
  <c r="Y23" i="54"/>
  <c r="Y30" i="54" s="1"/>
  <c r="X23" i="54"/>
  <c r="X30" i="54" s="1"/>
  <c r="D4" i="54"/>
  <c r="Y25" i="53"/>
  <c r="AA25" i="53" s="1"/>
  <c r="E23" i="54"/>
  <c r="E30" i="54" s="1"/>
  <c r="Z23" i="54"/>
  <c r="Z30" i="54" s="1"/>
  <c r="N23" i="54"/>
  <c r="N30" i="54" s="1"/>
  <c r="N30" i="44" s="1"/>
  <c r="J23" i="54"/>
  <c r="J30" i="54" s="1"/>
  <c r="O23" i="54"/>
  <c r="O30" i="54" s="1"/>
  <c r="D15" i="54"/>
  <c r="D14" i="54"/>
  <c r="I23" i="54"/>
  <c r="I30" i="54" s="1"/>
  <c r="Q23" i="44"/>
  <c r="Q30" i="44" s="1"/>
  <c r="G23" i="44"/>
  <c r="G30" i="44" s="1"/>
  <c r="L38" i="33"/>
  <c r="M38" i="33" s="1"/>
  <c r="N38" i="33" s="1"/>
  <c r="D22" i="54"/>
  <c r="W23" i="48"/>
  <c r="W30" i="48" s="1"/>
  <c r="D4" i="44"/>
  <c r="D29" i="54"/>
  <c r="D15" i="48"/>
  <c r="P23" i="41"/>
  <c r="P30" i="41" s="1"/>
  <c r="F23" i="48"/>
  <c r="F30" i="48" s="1"/>
  <c r="L36" i="33"/>
  <c r="M36" i="33" s="1"/>
  <c r="N36" i="33" s="1"/>
  <c r="J32" i="19"/>
  <c r="Y97" i="41"/>
  <c r="K23" i="44"/>
  <c r="K30" i="44" s="1"/>
  <c r="J23" i="44"/>
  <c r="J30" i="44" s="1"/>
  <c r="T22" i="54"/>
  <c r="AB23" i="53"/>
  <c r="AB30" i="53" s="1"/>
  <c r="D29" i="44"/>
  <c r="L32" i="19"/>
  <c r="AB25" i="46"/>
  <c r="K23" i="46"/>
  <c r="K30" i="46" s="1"/>
  <c r="S25" i="46"/>
  <c r="D15" i="46"/>
  <c r="Q34" i="46"/>
  <c r="V31" i="46"/>
  <c r="Z31" i="46" s="1"/>
  <c r="W24" i="46" a="1"/>
  <c r="W24" i="46" s="1"/>
  <c r="D12" i="46"/>
  <c r="Q23" i="46"/>
  <c r="Q30" i="46" s="1"/>
  <c r="R23" i="46"/>
  <c r="R30" i="46" s="1"/>
  <c r="D4" i="46"/>
  <c r="E23" i="46"/>
  <c r="E30" i="46" s="1"/>
  <c r="AB23" i="46"/>
  <c r="AB30" i="46" s="1"/>
  <c r="S31" i="46"/>
  <c r="W31" i="46" a="1"/>
  <c r="W31" i="46" s="1"/>
  <c r="M32" i="45"/>
  <c r="P32" i="45" s="1"/>
  <c r="X34" i="43"/>
  <c r="V34" i="43"/>
  <c r="W34" i="43" s="1"/>
  <c r="Y34" i="43" s="1"/>
  <c r="O34" i="43"/>
  <c r="X33" i="43"/>
  <c r="T31" i="43"/>
  <c r="T35" i="41"/>
  <c r="T32" i="48"/>
  <c r="M32" i="48"/>
  <c r="T33" i="41"/>
  <c r="X33" i="41" s="1"/>
  <c r="T34" i="41"/>
  <c r="V41" i="33"/>
  <c r="W41" i="33" s="1"/>
  <c r="Y41" i="33" s="1"/>
  <c r="X41" i="33"/>
  <c r="O41" i="33"/>
  <c r="X31" i="33"/>
  <c r="X35" i="33"/>
  <c r="T32" i="33"/>
  <c r="X32" i="33" s="1"/>
  <c r="L25" i="33"/>
  <c r="M25" i="33" s="1"/>
  <c r="T39" i="33"/>
  <c r="X39" i="33" s="1"/>
  <c r="U36" i="33"/>
  <c r="V36" i="33" s="1"/>
  <c r="W36" i="33" s="1"/>
  <c r="Y36" i="33" s="1"/>
  <c r="Z36" i="33"/>
  <c r="T25" i="33"/>
  <c r="X25" i="33" s="1"/>
  <c r="O31" i="33"/>
  <c r="U25" i="33"/>
  <c r="Z37" i="33"/>
  <c r="U38" i="33"/>
  <c r="V38" i="33" s="1"/>
  <c r="W38" i="33" s="1"/>
  <c r="Y38" i="33" s="1"/>
  <c r="L37" i="33"/>
  <c r="M37" i="33" s="1"/>
  <c r="N37" i="33" s="1"/>
  <c r="Y99" i="48"/>
  <c r="E17" i="59"/>
  <c r="D12" i="42"/>
  <c r="D12" i="44"/>
  <c r="I30" i="19"/>
  <c r="E19" i="24"/>
  <c r="R23" i="48"/>
  <c r="R30" i="48" s="1"/>
  <c r="I16" i="19"/>
  <c r="P16" i="33" s="1"/>
  <c r="E23" i="42"/>
  <c r="E30" i="42" s="1"/>
  <c r="N23" i="42"/>
  <c r="N30" i="42" s="1"/>
  <c r="E33" i="24"/>
  <c r="D23" i="53"/>
  <c r="D30" i="53" s="1"/>
  <c r="E26" i="24"/>
  <c r="D29" i="24"/>
  <c r="D30" i="24"/>
  <c r="D27" i="24"/>
  <c r="I23" i="41"/>
  <c r="I30" i="41" s="1"/>
  <c r="J23" i="41"/>
  <c r="J30" i="41" s="1"/>
  <c r="D29" i="42"/>
  <c r="D23" i="41"/>
  <c r="D30" i="41" s="1"/>
  <c r="H23" i="42"/>
  <c r="H30" i="42" s="1"/>
  <c r="T23" i="46"/>
  <c r="T30" i="46" s="1"/>
  <c r="D25" i="24"/>
  <c r="D22" i="46"/>
  <c r="X23" i="41"/>
  <c r="X30" i="41" s="1"/>
  <c r="O23" i="42"/>
  <c r="O30" i="42" s="1"/>
  <c r="D22" i="42"/>
  <c r="F23" i="42"/>
  <c r="F30" i="42" s="1"/>
  <c r="O23" i="41"/>
  <c r="O30" i="41" s="1"/>
  <c r="R23" i="41"/>
  <c r="Z23" i="41" s="1"/>
  <c r="Z30" i="41" s="1"/>
  <c r="D4" i="42"/>
  <c r="D22" i="41"/>
  <c r="G23" i="41"/>
  <c r="G30" i="41" s="1"/>
  <c r="F23" i="41"/>
  <c r="F30" i="41" s="1"/>
  <c r="T22" i="41"/>
  <c r="D4" i="41"/>
  <c r="M23" i="42"/>
  <c r="M30" i="42" s="1"/>
  <c r="I23" i="42"/>
  <c r="I30" i="42" s="1"/>
  <c r="N23" i="41"/>
  <c r="N30" i="41" s="1"/>
  <c r="Q23" i="42"/>
  <c r="Q30" i="42" s="1"/>
  <c r="P23" i="42"/>
  <c r="P30" i="42" s="1"/>
  <c r="D15" i="42"/>
  <c r="D14" i="42"/>
  <c r="D15" i="41"/>
  <c r="S23" i="46"/>
  <c r="S30" i="46" s="1"/>
  <c r="D4" i="43"/>
  <c r="D23" i="33"/>
  <c r="D30" i="33" s="1"/>
  <c r="D15" i="45"/>
  <c r="I23" i="43"/>
  <c r="I30" i="43" s="1"/>
  <c r="E23" i="43"/>
  <c r="E30" i="43" s="1"/>
  <c r="D23" i="45"/>
  <c r="D30" i="45" s="1"/>
  <c r="J23" i="43"/>
  <c r="J30" i="43" s="1"/>
  <c r="E25" i="59"/>
  <c r="D22" i="45"/>
  <c r="D12" i="45"/>
  <c r="D14" i="43"/>
  <c r="R23" i="45"/>
  <c r="R30" i="45" s="1"/>
  <c r="Q23" i="43"/>
  <c r="Q30" i="43" s="1"/>
  <c r="D29" i="43"/>
  <c r="X23" i="43"/>
  <c r="X30" i="43" s="1"/>
  <c r="D29" i="45"/>
  <c r="E23" i="45"/>
  <c r="E30" i="45" s="1"/>
  <c r="D12" i="43"/>
  <c r="W23" i="43"/>
  <c r="W30" i="43" s="1"/>
  <c r="P23" i="45"/>
  <c r="P30" i="45" s="1"/>
  <c r="F23" i="45"/>
  <c r="F30" i="45" s="1"/>
  <c r="Z23" i="43"/>
  <c r="Z30" i="43" s="1"/>
  <c r="O23" i="45"/>
  <c r="O30" i="45" s="1"/>
  <c r="D14" i="45"/>
  <c r="J23" i="45"/>
  <c r="J30" i="45" s="1"/>
  <c r="O23" i="43"/>
  <c r="O30" i="43" s="1"/>
  <c r="N23" i="43"/>
  <c r="N30" i="43" s="1"/>
  <c r="P23" i="43"/>
  <c r="P30" i="43" s="1"/>
  <c r="Y23" i="43"/>
  <c r="Y30" i="43" s="1"/>
  <c r="T22" i="43"/>
  <c r="N23" i="45"/>
  <c r="N30" i="45" s="1"/>
  <c r="D22" i="43"/>
  <c r="D15" i="43"/>
  <c r="D23" i="43"/>
  <c r="D30" i="43" s="1"/>
  <c r="Q23" i="45"/>
  <c r="Q30" i="45" s="1"/>
  <c r="D22" i="24"/>
  <c r="E23" i="24"/>
  <c r="I17" i="19"/>
  <c r="P17" i="33" s="1"/>
  <c r="D14" i="24"/>
  <c r="D27" i="42" s="1"/>
  <c r="D27" i="43" s="1"/>
  <c r="D27" i="45" s="1"/>
  <c r="D27" i="46" s="1"/>
  <c r="D27" i="53" s="1"/>
  <c r="D15" i="24"/>
  <c r="D4" i="24"/>
  <c r="I26" i="19"/>
  <c r="D28" i="24"/>
  <c r="G32" i="19"/>
  <c r="W23" i="41"/>
  <c r="W30" i="41" s="1"/>
  <c r="D31" i="24"/>
  <c r="I28" i="19"/>
  <c r="D20" i="24"/>
  <c r="E31" i="24"/>
  <c r="E30" i="24"/>
  <c r="I23" i="45"/>
  <c r="I30" i="45" s="1"/>
  <c r="T22" i="48"/>
  <c r="D12" i="19"/>
  <c r="D22" i="19" s="1"/>
  <c r="I15" i="19"/>
  <c r="P15" i="33" s="1"/>
  <c r="D23" i="24"/>
  <c r="E34" i="24"/>
  <c r="D34" i="24"/>
  <c r="D33" i="19"/>
  <c r="D33" i="24"/>
  <c r="D12" i="24"/>
  <c r="E24" i="24"/>
  <c r="I24" i="19"/>
  <c r="D27" i="33" s="1"/>
  <c r="E32" i="24"/>
  <c r="D26" i="24"/>
  <c r="E29" i="24"/>
  <c r="D71" i="24"/>
  <c r="D21" i="24"/>
  <c r="E22" i="24"/>
  <c r="D19" i="24"/>
  <c r="D14" i="41"/>
  <c r="Z23" i="53"/>
  <c r="Z30" i="53" s="1"/>
  <c r="J23" i="53"/>
  <c r="J30" i="53" s="1"/>
  <c r="X23" i="48"/>
  <c r="X30" i="48" s="1"/>
  <c r="I18" i="19"/>
  <c r="P18" i="33" s="1"/>
  <c r="F32" i="19"/>
  <c r="G23" i="48"/>
  <c r="G30" i="48" s="1"/>
  <c r="Z23" i="33"/>
  <c r="Z30" i="33" s="1"/>
  <c r="D15" i="19"/>
  <c r="D4" i="48"/>
  <c r="E32" i="19"/>
  <c r="D12" i="37"/>
  <c r="D429" i="37"/>
  <c r="P23" i="53"/>
  <c r="P30" i="53" s="1"/>
  <c r="D23" i="46"/>
  <c r="D30" i="46" s="1"/>
  <c r="R23" i="44"/>
  <c r="R30" i="44" s="1"/>
  <c r="D62" i="33"/>
  <c r="D62" i="41" s="1"/>
  <c r="D62" i="42" s="1"/>
  <c r="D62" i="43" s="1"/>
  <c r="D63" i="45" s="1"/>
  <c r="D14" i="33"/>
  <c r="E23" i="41"/>
  <c r="E30" i="41" s="1"/>
  <c r="P23" i="44"/>
  <c r="P30" i="44" s="1"/>
  <c r="K23" i="53"/>
  <c r="K30" i="53" s="1"/>
  <c r="D15" i="53"/>
  <c r="I23" i="48"/>
  <c r="I30" i="48" s="1"/>
  <c r="D29" i="33"/>
  <c r="D12" i="48"/>
  <c r="N23" i="33"/>
  <c r="N30" i="33" s="1"/>
  <c r="R23" i="53"/>
  <c r="R30" i="53" s="1"/>
  <c r="Q23" i="48"/>
  <c r="Q30" i="48" s="1"/>
  <c r="I23" i="33"/>
  <c r="I30" i="33" s="1"/>
  <c r="P23" i="48"/>
  <c r="P30" i="48" s="1"/>
  <c r="Q23" i="41"/>
  <c r="Q30" i="41" s="1"/>
  <c r="R23" i="43"/>
  <c r="R30" i="43" s="1"/>
  <c r="Y23" i="53"/>
  <c r="Y30" i="53" s="1"/>
  <c r="D29" i="48"/>
  <c r="D22" i="53"/>
  <c r="D14" i="48"/>
  <c r="O23" i="33"/>
  <c r="O30" i="33" s="1"/>
  <c r="S23" i="53"/>
  <c r="S30" i="53" s="1"/>
  <c r="F23" i="53"/>
  <c r="F30" i="53" s="1"/>
  <c r="E23" i="48"/>
  <c r="E30" i="48" s="1"/>
  <c r="J23" i="33"/>
  <c r="J30" i="33" s="1"/>
  <c r="Y23" i="33"/>
  <c r="Y30" i="33" s="1"/>
  <c r="D23" i="48"/>
  <c r="D30" i="48" s="1"/>
  <c r="O23" i="48"/>
  <c r="O30" i="48" s="1"/>
  <c r="T23" i="53"/>
  <c r="T30" i="53" s="1"/>
  <c r="D22" i="33"/>
  <c r="I22" i="19" s="1"/>
  <c r="G23" i="53"/>
  <c r="G30" i="53" s="1"/>
  <c r="D4" i="53"/>
  <c r="D29" i="53"/>
  <c r="Q23" i="33"/>
  <c r="Q30" i="33" s="1"/>
  <c r="P23" i="33"/>
  <c r="P30" i="33" s="1"/>
  <c r="X23" i="33"/>
  <c r="X30" i="33" s="1"/>
  <c r="E27" i="24"/>
  <c r="D14" i="46"/>
  <c r="G23" i="33"/>
  <c r="G30" i="33" s="1"/>
  <c r="D12" i="33"/>
  <c r="D22" i="48"/>
  <c r="Y23" i="48"/>
  <c r="Y30" i="48" s="1"/>
  <c r="H23" i="53"/>
  <c r="H30" i="53" s="1"/>
  <c r="D12" i="53"/>
  <c r="Q23" i="53"/>
  <c r="Q30" i="53" s="1"/>
  <c r="D4" i="33"/>
  <c r="W23" i="33"/>
  <c r="W30" i="33" s="1"/>
  <c r="L23" i="53"/>
  <c r="L30" i="53" s="1"/>
  <c r="F23" i="33"/>
  <c r="F30" i="33" s="1"/>
  <c r="D14" i="53"/>
  <c r="E23" i="53"/>
  <c r="E30" i="53" s="1"/>
  <c r="D23" i="44"/>
  <c r="D30" i="44" s="1"/>
  <c r="D32" i="24"/>
  <c r="E23" i="33"/>
  <c r="E30" i="33" s="1"/>
  <c r="V31" i="53"/>
  <c r="Z31" i="53" s="1"/>
  <c r="N56" i="33" l="1"/>
  <c r="P56" i="33" s="1"/>
  <c r="N53" i="33"/>
  <c r="P53" i="33" s="1"/>
  <c r="N59" i="33"/>
  <c r="P59" i="33" s="1"/>
  <c r="N57" i="33"/>
  <c r="P57" i="33" s="1"/>
  <c r="N54" i="33"/>
  <c r="P54" i="33" s="1"/>
  <c r="P35" i="46" a="1"/>
  <c r="P35" i="46" s="1"/>
  <c r="R35" i="46" s="1"/>
  <c r="N32" i="41"/>
  <c r="P32" i="41" s="1"/>
  <c r="P62" i="41" s="1"/>
  <c r="N24" i="33"/>
  <c r="P24" i="33" s="1"/>
  <c r="M31" i="42"/>
  <c r="O31" i="42" s="1"/>
  <c r="O62" i="42" s="1"/>
  <c r="N25" i="33"/>
  <c r="P25" i="33" s="1"/>
  <c r="N24" i="45"/>
  <c r="P24" i="45" s="1"/>
  <c r="P24" i="48"/>
  <c r="Q35" i="44"/>
  <c r="N25" i="45"/>
  <c r="P25" i="45" s="1"/>
  <c r="O24" i="42"/>
  <c r="M25" i="42"/>
  <c r="O25" i="42" s="1"/>
  <c r="P25" i="43"/>
  <c r="N25" i="48" a="1"/>
  <c r="N25" i="48" s="1"/>
  <c r="P25" i="48" s="1"/>
  <c r="N24" i="41"/>
  <c r="P24" i="41" s="1"/>
  <c r="N25" i="41"/>
  <c r="P25" i="41" s="1"/>
  <c r="I71" i="24"/>
  <c r="O39" i="24"/>
  <c r="K71" i="24"/>
  <c r="Q39" i="24"/>
  <c r="J71" i="24"/>
  <c r="P39" i="24"/>
  <c r="L71" i="24"/>
  <c r="R39" i="24"/>
  <c r="O71" i="24"/>
  <c r="U39" i="24"/>
  <c r="H71" i="24"/>
  <c r="N39" i="24"/>
  <c r="M71" i="24"/>
  <c r="S39" i="24"/>
  <c r="N71" i="24"/>
  <c r="T39" i="24"/>
  <c r="E71" i="24"/>
  <c r="K39" i="24"/>
  <c r="G71" i="24"/>
  <c r="M39" i="24"/>
  <c r="F71" i="24"/>
  <c r="L39" i="24"/>
  <c r="P17" i="41"/>
  <c r="P17" i="42" s="1"/>
  <c r="P17" i="43" s="1"/>
  <c r="P17" i="45" s="1"/>
  <c r="Q17" i="46" s="1"/>
  <c r="Q17" i="53" s="1"/>
  <c r="P17" i="48" s="1"/>
  <c r="P17" i="54" s="1"/>
  <c r="P17" i="44" s="1"/>
  <c r="P16" i="41"/>
  <c r="P16" i="42" s="1"/>
  <c r="P16" i="43" s="1"/>
  <c r="P16" i="45" s="1"/>
  <c r="Q16" i="46" s="1"/>
  <c r="Q16" i="53" s="1"/>
  <c r="P16" i="48" s="1"/>
  <c r="P16" i="54" s="1"/>
  <c r="P16" i="44" s="1"/>
  <c r="P18" i="41"/>
  <c r="P18" i="42" s="1"/>
  <c r="P18" i="43" s="1"/>
  <c r="P18" i="45" s="1"/>
  <c r="Q18" i="46" s="1"/>
  <c r="Q18" i="53" s="1"/>
  <c r="P18" i="48" s="1"/>
  <c r="P18" i="54" s="1"/>
  <c r="P18" i="44" s="1"/>
  <c r="P15" i="41"/>
  <c r="P15" i="42" s="1"/>
  <c r="P15" i="43" s="1"/>
  <c r="P15" i="45" s="1"/>
  <c r="Q15" i="46" s="1"/>
  <c r="Q15" i="53" s="1"/>
  <c r="P15" i="48" s="1"/>
  <c r="P15" i="54" s="1"/>
  <c r="P15" i="44" s="1"/>
  <c r="P35" i="33"/>
  <c r="L35" i="44"/>
  <c r="M35" i="44" s="1"/>
  <c r="P35" i="44" s="1"/>
  <c r="P42" i="33"/>
  <c r="V24" i="41"/>
  <c r="W24" i="41" s="1"/>
  <c r="Y24" i="41" s="1"/>
  <c r="P41" i="33"/>
  <c r="P43" i="33"/>
  <c r="P51" i="33"/>
  <c r="P45" i="33"/>
  <c r="P46" i="33"/>
  <c r="P44" i="33"/>
  <c r="P49" i="33"/>
  <c r="P47" i="33"/>
  <c r="P48" i="33"/>
  <c r="P39" i="33"/>
  <c r="V33" i="33"/>
  <c r="W33" i="33" s="1"/>
  <c r="Y33" i="33" s="1"/>
  <c r="P38" i="33"/>
  <c r="P37" i="33"/>
  <c r="V37" i="33"/>
  <c r="W37" i="33" s="1"/>
  <c r="Y37" i="33" s="1"/>
  <c r="P36" i="33"/>
  <c r="X32" i="46"/>
  <c r="Y32" i="46" s="1"/>
  <c r="AA32" i="46" s="1"/>
  <c r="P31" i="33"/>
  <c r="P33" i="33"/>
  <c r="P32" i="33"/>
  <c r="P34" i="33"/>
  <c r="V25" i="48"/>
  <c r="W25" i="48" s="1"/>
  <c r="Y25" i="48" s="1"/>
  <c r="P32" i="48"/>
  <c r="P63" i="48" s="1"/>
  <c r="V47" i="41"/>
  <c r="W47" i="41" s="1"/>
  <c r="Y47" i="41" s="1"/>
  <c r="V38" i="41"/>
  <c r="W38" i="41" s="1"/>
  <c r="Y38" i="41" s="1"/>
  <c r="X38" i="41"/>
  <c r="V32" i="43"/>
  <c r="W32" i="43" s="1"/>
  <c r="Y32" i="43" s="1"/>
  <c r="V24" i="43"/>
  <c r="W24" i="43" s="1"/>
  <c r="Y24" i="43" s="1"/>
  <c r="O33" i="46"/>
  <c r="R33" i="46" s="1"/>
  <c r="V24" i="33"/>
  <c r="W24" i="33" s="1"/>
  <c r="Y24" i="33" s="1"/>
  <c r="V31" i="54"/>
  <c r="W31" i="54" s="1"/>
  <c r="Y31" i="54" s="1"/>
  <c r="L33" i="19"/>
  <c r="C3" i="17" s="1"/>
  <c r="G33" i="19"/>
  <c r="D72" i="24" s="1" a="1"/>
  <c r="C4" i="17"/>
  <c r="C5" i="17"/>
  <c r="C7" i="17"/>
  <c r="C6" i="17"/>
  <c r="V49" i="54"/>
  <c r="W49" i="54" s="1"/>
  <c r="Y49" i="54" s="1"/>
  <c r="V38" i="43"/>
  <c r="W38" i="43" s="1"/>
  <c r="X38" i="43"/>
  <c r="O33" i="53"/>
  <c r="X33" i="53"/>
  <c r="Y33" i="53" s="1"/>
  <c r="AA33" i="53" s="1"/>
  <c r="X34" i="53"/>
  <c r="Y34" i="53" s="1"/>
  <c r="AA34" i="53" s="1"/>
  <c r="X36" i="41"/>
  <c r="V36" i="41"/>
  <c r="W36" i="41" s="1"/>
  <c r="Y36" i="41" s="1"/>
  <c r="V39" i="33"/>
  <c r="W39" i="33" s="1"/>
  <c r="Y39" i="33" s="1"/>
  <c r="M31" i="45"/>
  <c r="M31" i="54"/>
  <c r="P31" i="54" s="1"/>
  <c r="P62" i="54" s="1"/>
  <c r="O24" i="46"/>
  <c r="X35" i="53"/>
  <c r="Y35" i="53" s="1"/>
  <c r="AA35" i="53" s="1"/>
  <c r="X32" i="53"/>
  <c r="Y32" i="53" s="1"/>
  <c r="AA32" i="53" s="1"/>
  <c r="O32" i="53"/>
  <c r="R32" i="53" s="1"/>
  <c r="X40" i="48"/>
  <c r="V40" i="48"/>
  <c r="W40" i="48" s="1"/>
  <c r="Y40" i="48" s="1"/>
  <c r="X42" i="48"/>
  <c r="V42" i="48"/>
  <c r="W42" i="48" s="1"/>
  <c r="Y42" i="48" s="1"/>
  <c r="V37" i="54"/>
  <c r="W37" i="54" s="1"/>
  <c r="Y37" i="54" s="1"/>
  <c r="V52" i="54"/>
  <c r="W52" i="54" s="1"/>
  <c r="Y52" i="54" s="1"/>
  <c r="X52" i="54"/>
  <c r="V44" i="54"/>
  <c r="W44" i="54" s="1"/>
  <c r="Y44" i="54" s="1"/>
  <c r="V57" i="54"/>
  <c r="W57" i="54" s="1"/>
  <c r="Y57" i="54" s="1"/>
  <c r="X59" i="54"/>
  <c r="V59" i="54"/>
  <c r="W59" i="54" s="1"/>
  <c r="Y59" i="54" s="1"/>
  <c r="V55" i="54"/>
  <c r="W55" i="54" s="1"/>
  <c r="Y55" i="54" s="1"/>
  <c r="X55" i="54"/>
  <c r="X36" i="54"/>
  <c r="V36" i="54"/>
  <c r="W36" i="54" s="1"/>
  <c r="Y36" i="54" s="1"/>
  <c r="V35" i="54"/>
  <c r="W35" i="54" s="1"/>
  <c r="Y35" i="54" s="1"/>
  <c r="X35" i="54"/>
  <c r="X51" i="54"/>
  <c r="V51" i="54"/>
  <c r="W51" i="54" s="1"/>
  <c r="Y51" i="54" s="1"/>
  <c r="V60" i="54"/>
  <c r="W60" i="54" s="1"/>
  <c r="Y60" i="54" s="1"/>
  <c r="X60" i="54"/>
  <c r="V31" i="48"/>
  <c r="W31" i="48" s="1"/>
  <c r="Y31" i="48" s="1"/>
  <c r="X31" i="48"/>
  <c r="O31" i="53"/>
  <c r="R31" i="53" s="1"/>
  <c r="X31" i="53"/>
  <c r="Y31" i="53" s="1"/>
  <c r="AA31" i="53" s="1"/>
  <c r="P62" i="43"/>
  <c r="X34" i="46"/>
  <c r="Y34" i="46" s="1"/>
  <c r="AA34" i="46" s="1"/>
  <c r="O34" i="46"/>
  <c r="X31" i="46"/>
  <c r="Y31" i="46" s="1"/>
  <c r="AA31" i="46" s="1"/>
  <c r="O31" i="46"/>
  <c r="O24" i="53"/>
  <c r="P24" i="53" s="1" a="1"/>
  <c r="P24" i="53" s="1"/>
  <c r="X24" i="53"/>
  <c r="Y24" i="53" s="1"/>
  <c r="AA24" i="53" s="1"/>
  <c r="X25" i="43"/>
  <c r="V25" i="43"/>
  <c r="W25" i="43" s="1"/>
  <c r="Y25" i="43" s="1"/>
  <c r="M406" i="37"/>
  <c r="L38" i="44" s="1"/>
  <c r="M38" i="44" s="1"/>
  <c r="P38" i="44" s="1"/>
  <c r="V31" i="43"/>
  <c r="W31" i="43" s="1"/>
  <c r="Y31" i="43" s="1"/>
  <c r="X31" i="43"/>
  <c r="V35" i="41"/>
  <c r="W35" i="41" s="1"/>
  <c r="Y35" i="41" s="1"/>
  <c r="X35" i="41"/>
  <c r="V32" i="48"/>
  <c r="W32" i="48" s="1"/>
  <c r="Y32" i="48" s="1"/>
  <c r="X32" i="48"/>
  <c r="V33" i="41"/>
  <c r="W33" i="41" s="1"/>
  <c r="Y33" i="41" s="1"/>
  <c r="X34" i="41"/>
  <c r="V34" i="41"/>
  <c r="W34" i="41" s="1"/>
  <c r="Y34" i="41" s="1"/>
  <c r="V32" i="33"/>
  <c r="W32" i="33" s="1"/>
  <c r="Y32" i="33" s="1"/>
  <c r="V25" i="33"/>
  <c r="W25" i="33" s="1"/>
  <c r="Y25" i="33" s="1"/>
  <c r="D27" i="41"/>
  <c r="D27" i="48"/>
  <c r="D27" i="54" s="1"/>
  <c r="D27" i="44" s="1"/>
  <c r="R30" i="41"/>
  <c r="D62" i="46"/>
  <c r="D62" i="53" s="1"/>
  <c r="D63" i="48" s="1"/>
  <c r="D62" i="54" s="1"/>
  <c r="D74" i="44" s="1"/>
  <c r="P31" i="45" l="1"/>
  <c r="P63" i="45" s="1"/>
  <c r="N31" i="45"/>
  <c r="P33" i="53" a="1"/>
  <c r="P33" i="53" s="1"/>
  <c r="R33" i="53" s="1"/>
  <c r="R62" i="53" s="1"/>
  <c r="Q63" i="44"/>
  <c r="L63" i="44"/>
  <c r="M63" i="44" s="1"/>
  <c r="N63" i="44" s="1"/>
  <c r="P63" i="44" s="1"/>
  <c r="F81" i="24"/>
  <c r="N85" i="24"/>
  <c r="L90" i="24"/>
  <c r="G81" i="24"/>
  <c r="O81" i="24"/>
  <c r="M82" i="24"/>
  <c r="K83" i="24"/>
  <c r="I84" i="24"/>
  <c r="G85" i="24"/>
  <c r="O85" i="24"/>
  <c r="M86" i="24"/>
  <c r="K87" i="24"/>
  <c r="I88" i="24"/>
  <c r="G89" i="24"/>
  <c r="O89" i="24"/>
  <c r="M90" i="24"/>
  <c r="K91" i="24"/>
  <c r="E84" i="24"/>
  <c r="F82" i="24"/>
  <c r="J84" i="24"/>
  <c r="F86" i="24"/>
  <c r="L87" i="24"/>
  <c r="H89" i="24"/>
  <c r="N90" i="24"/>
  <c r="E85" i="24"/>
  <c r="H81" i="24"/>
  <c r="N82" i="24"/>
  <c r="L83" i="24"/>
  <c r="H85" i="24"/>
  <c r="N86" i="24"/>
  <c r="J88" i="24"/>
  <c r="F90" i="24"/>
  <c r="L91" i="24"/>
  <c r="I81" i="24"/>
  <c r="G82" i="24"/>
  <c r="O82" i="24"/>
  <c r="M83" i="24"/>
  <c r="K84" i="24"/>
  <c r="I85" i="24"/>
  <c r="G86" i="24"/>
  <c r="O86" i="24"/>
  <c r="M87" i="24"/>
  <c r="K88" i="24"/>
  <c r="I89" i="24"/>
  <c r="G90" i="24"/>
  <c r="O90" i="24"/>
  <c r="M91" i="24"/>
  <c r="E86" i="24"/>
  <c r="F85" i="24"/>
  <c r="H88" i="24"/>
  <c r="J91" i="24"/>
  <c r="J81" i="24"/>
  <c r="H82" i="24"/>
  <c r="F83" i="24"/>
  <c r="N83" i="24"/>
  <c r="L84" i="24"/>
  <c r="J85" i="24"/>
  <c r="H86" i="24"/>
  <c r="F87" i="24"/>
  <c r="N87" i="24"/>
  <c r="L88" i="24"/>
  <c r="J89" i="24"/>
  <c r="H90" i="24"/>
  <c r="F91" i="24"/>
  <c r="N91" i="24"/>
  <c r="E87" i="24"/>
  <c r="H84" i="24"/>
  <c r="N89" i="24"/>
  <c r="K81" i="24"/>
  <c r="I82" i="24"/>
  <c r="G83" i="24"/>
  <c r="O83" i="24"/>
  <c r="M84" i="24"/>
  <c r="K85" i="24"/>
  <c r="I86" i="24"/>
  <c r="G87" i="24"/>
  <c r="O87" i="24"/>
  <c r="M88" i="24"/>
  <c r="K89" i="24"/>
  <c r="I90" i="24"/>
  <c r="G91" i="24"/>
  <c r="O91" i="24"/>
  <c r="E88" i="24"/>
  <c r="J83" i="24"/>
  <c r="F89" i="24"/>
  <c r="L81" i="24"/>
  <c r="J82" i="24"/>
  <c r="H83" i="24"/>
  <c r="F84" i="24"/>
  <c r="N84" i="24"/>
  <c r="L85" i="24"/>
  <c r="J86" i="24"/>
  <c r="H87" i="24"/>
  <c r="F88" i="24"/>
  <c r="N88" i="24"/>
  <c r="L89" i="24"/>
  <c r="J90" i="24"/>
  <c r="H91" i="24"/>
  <c r="E81" i="24"/>
  <c r="E89" i="24"/>
  <c r="L82" i="24"/>
  <c r="J87" i="24"/>
  <c r="M81" i="24"/>
  <c r="K82" i="24"/>
  <c r="I83" i="24"/>
  <c r="G84" i="24"/>
  <c r="O84" i="24"/>
  <c r="M85" i="24"/>
  <c r="K86" i="24"/>
  <c r="I87" i="24"/>
  <c r="G88" i="24"/>
  <c r="O88" i="24"/>
  <c r="M89" i="24"/>
  <c r="K90" i="24"/>
  <c r="I91" i="24"/>
  <c r="E82" i="24"/>
  <c r="E90" i="24"/>
  <c r="N81" i="24"/>
  <c r="L86" i="24"/>
  <c r="E83" i="24"/>
  <c r="P24" i="46" a="1"/>
  <c r="P24" i="46" s="1"/>
  <c r="R24" i="46" s="1"/>
  <c r="Q32" i="44"/>
  <c r="Q33" i="44"/>
  <c r="Q36" i="44"/>
  <c r="Q37" i="44"/>
  <c r="Q34" i="44"/>
  <c r="L37" i="44"/>
  <c r="M37" i="44" s="1"/>
  <c r="P37" i="44" s="1"/>
  <c r="Q38" i="44"/>
  <c r="L34" i="44"/>
  <c r="M34" i="44" s="1"/>
  <c r="P34" i="44" s="1"/>
  <c r="L32" i="44"/>
  <c r="M32" i="44" s="1"/>
  <c r="P32" i="44" s="1"/>
  <c r="L36" i="44"/>
  <c r="M36" i="44" s="1"/>
  <c r="P36" i="44" s="1"/>
  <c r="L33" i="44"/>
  <c r="M33" i="44" s="1"/>
  <c r="P33" i="44" s="1"/>
  <c r="R24" i="53"/>
  <c r="P62" i="33"/>
  <c r="Y62" i="43"/>
  <c r="Y62" i="33"/>
  <c r="R31" i="46"/>
  <c r="J76" i="24" s="1"/>
  <c r="F74" i="24"/>
  <c r="L75" i="24"/>
  <c r="H96" i="24"/>
  <c r="L74" i="24"/>
  <c r="H73" i="24"/>
  <c r="I94" i="24"/>
  <c r="L76" i="24"/>
  <c r="K93" i="24"/>
  <c r="G77" i="24"/>
  <c r="I75" i="24"/>
  <c r="F76" i="24"/>
  <c r="E76" i="24"/>
  <c r="I96" i="24"/>
  <c r="M95" i="24"/>
  <c r="I95" i="24"/>
  <c r="E80" i="24"/>
  <c r="E79" i="24"/>
  <c r="J74" i="24"/>
  <c r="M75" i="24"/>
  <c r="E78" i="24"/>
  <c r="E77" i="24"/>
  <c r="E93" i="24"/>
  <c r="K74" i="24"/>
  <c r="G73" i="24"/>
  <c r="L80" i="24"/>
  <c r="F79" i="24"/>
  <c r="K73" i="24"/>
  <c r="H74" i="24"/>
  <c r="F73" i="24"/>
  <c r="M96" i="24"/>
  <c r="I93" i="24"/>
  <c r="E92" i="24"/>
  <c r="I97" i="24"/>
  <c r="G74" i="24"/>
  <c r="G78" i="24"/>
  <c r="K95" i="24"/>
  <c r="F77" i="24"/>
  <c r="H94" i="24"/>
  <c r="H77" i="24"/>
  <c r="M73" i="24"/>
  <c r="H78" i="24"/>
  <c r="G80" i="24"/>
  <c r="G97" i="24"/>
  <c r="I92" i="24"/>
  <c r="G75" i="24"/>
  <c r="G93" i="24"/>
  <c r="M79" i="24"/>
  <c r="I80" i="24"/>
  <c r="I79" i="24"/>
  <c r="I78" i="24"/>
  <c r="K94" i="24"/>
  <c r="E96" i="24"/>
  <c r="L78" i="24"/>
  <c r="F75" i="24"/>
  <c r="E95" i="24"/>
  <c r="E75" i="24"/>
  <c r="M77" i="24"/>
  <c r="M74" i="24"/>
  <c r="H93" i="24"/>
  <c r="H75" i="24"/>
  <c r="H76" i="24"/>
  <c r="K77" i="24"/>
  <c r="E74" i="24"/>
  <c r="I76" i="24"/>
  <c r="I77" i="24"/>
  <c r="K76" i="24"/>
  <c r="H97" i="24"/>
  <c r="G96" i="24"/>
  <c r="L79" i="24"/>
  <c r="G92" i="24"/>
  <c r="K92" i="24"/>
  <c r="L93" i="24"/>
  <c r="H92" i="24"/>
  <c r="M80" i="24"/>
  <c r="L77" i="24"/>
  <c r="I74" i="24"/>
  <c r="L95" i="24"/>
  <c r="H95" i="24"/>
  <c r="K79" i="24"/>
  <c r="E94" i="24"/>
  <c r="F95" i="24"/>
  <c r="M97" i="24"/>
  <c r="L97" i="24"/>
  <c r="K80" i="24"/>
  <c r="G79" i="24"/>
  <c r="L73" i="24"/>
  <c r="M78" i="24"/>
  <c r="F96" i="24"/>
  <c r="H79" i="24"/>
  <c r="F94" i="24"/>
  <c r="F93" i="24"/>
  <c r="F97" i="24"/>
  <c r="E97" i="24"/>
  <c r="G95" i="24"/>
  <c r="M93" i="24"/>
  <c r="M92" i="24"/>
  <c r="L94" i="24"/>
  <c r="E73" i="24"/>
  <c r="I73" i="24"/>
  <c r="F78" i="24"/>
  <c r="K97" i="24"/>
  <c r="M76" i="24"/>
  <c r="F80" i="24"/>
  <c r="L92" i="24"/>
  <c r="K78" i="24"/>
  <c r="G94" i="24"/>
  <c r="E91" i="24"/>
  <c r="L96" i="24"/>
  <c r="M94" i="24"/>
  <c r="K75" i="24"/>
  <c r="D72" i="24"/>
  <c r="E72" i="24" s="1"/>
  <c r="F92" i="24"/>
  <c r="K96" i="24"/>
  <c r="H80" i="24"/>
  <c r="G76" i="24"/>
  <c r="Q24" i="45"/>
  <c r="Q31" i="44"/>
  <c r="L31" i="44"/>
  <c r="M31" i="44" s="1"/>
  <c r="R34" i="46"/>
  <c r="J92" i="24"/>
  <c r="J94" i="24"/>
  <c r="J79" i="24"/>
  <c r="J80" i="24"/>
  <c r="J93" i="24"/>
  <c r="J75" i="24"/>
  <c r="J95" i="24"/>
  <c r="J96" i="24"/>
  <c r="J77" i="24"/>
  <c r="J78" i="24"/>
  <c r="J97" i="24"/>
  <c r="AA62" i="53"/>
  <c r="M15" i="24"/>
  <c r="H14" i="24"/>
  <c r="O95" i="24"/>
  <c r="O93" i="24"/>
  <c r="O77" i="24"/>
  <c r="O80" i="24"/>
  <c r="O96" i="24"/>
  <c r="O74" i="24"/>
  <c r="O73" i="24"/>
  <c r="O75" i="24"/>
  <c r="O78" i="24"/>
  <c r="O92" i="24"/>
  <c r="O94" i="24"/>
  <c r="O76" i="24"/>
  <c r="O79" i="24"/>
  <c r="O97" i="24"/>
  <c r="Y62" i="54"/>
  <c r="Y63" i="48"/>
  <c r="AA62" i="46"/>
  <c r="L24" i="44"/>
  <c r="M24" i="44" s="1"/>
  <c r="Q25" i="44"/>
  <c r="L25" i="44"/>
  <c r="M25" i="44" s="1"/>
  <c r="Q24" i="44"/>
  <c r="Y62" i="41"/>
  <c r="N25" i="44" l="1"/>
  <c r="P25" i="44" s="1"/>
  <c r="N24" i="44"/>
  <c r="P24" i="44" s="1"/>
  <c r="J73" i="24"/>
  <c r="R62" i="46"/>
  <c r="L72" i="24"/>
  <c r="L98" i="24" s="1"/>
  <c r="L99" i="24" s="1"/>
  <c r="F31" i="24" s="1"/>
  <c r="R42" i="24" s="1"/>
  <c r="J72" i="24"/>
  <c r="G72" i="24"/>
  <c r="G98" i="24" s="1"/>
  <c r="G99" i="24" s="1"/>
  <c r="I72" i="24"/>
  <c r="I98" i="24" s="1"/>
  <c r="I99" i="24" s="1"/>
  <c r="F27" i="24" s="1"/>
  <c r="O41" i="24" s="1"/>
  <c r="F72" i="24"/>
  <c r="F98" i="24" s="1"/>
  <c r="F99" i="24" s="1"/>
  <c r="H72" i="24"/>
  <c r="H98" i="24" s="1"/>
  <c r="H99" i="24" s="1"/>
  <c r="F26" i="24" s="1"/>
  <c r="N41" i="24" s="1"/>
  <c r="O72" i="24"/>
  <c r="O98" i="24" s="1"/>
  <c r="O99" i="24" s="1"/>
  <c r="M72" i="24"/>
  <c r="M98" i="24" s="1"/>
  <c r="M99" i="24" s="1"/>
  <c r="F32" i="24" s="1"/>
  <c r="S42" i="24" s="1"/>
  <c r="K72" i="24"/>
  <c r="K98" i="24" s="1"/>
  <c r="K99" i="24" s="1"/>
  <c r="E98" i="24"/>
  <c r="E99" i="24" s="1"/>
  <c r="P31" i="44"/>
  <c r="N72" i="24" s="1"/>
  <c r="F34" i="24"/>
  <c r="U42" i="24" s="1"/>
  <c r="J98" i="24" l="1"/>
  <c r="J99" i="24" s="1"/>
  <c r="F29" i="24" s="1"/>
  <c r="P42" i="24" s="1"/>
  <c r="F23" i="24"/>
  <c r="L40" i="24" s="1"/>
  <c r="F24" i="24"/>
  <c r="M40" i="24" s="1"/>
  <c r="F22" i="24"/>
  <c r="K40" i="24" s="1"/>
  <c r="F25" i="24"/>
  <c r="I16" i="24" s="1"/>
  <c r="N93" i="24"/>
  <c r="N79" i="24"/>
  <c r="N76" i="24"/>
  <c r="N80" i="24"/>
  <c r="N92" i="24"/>
  <c r="N94" i="24"/>
  <c r="N78" i="24"/>
  <c r="N75" i="24"/>
  <c r="N77" i="24"/>
  <c r="N95" i="24"/>
  <c r="N96" i="24"/>
  <c r="P74" i="44"/>
  <c r="N74" i="24"/>
  <c r="N73" i="24"/>
  <c r="N97" i="24"/>
  <c r="F30" i="24"/>
  <c r="Q42" i="24" s="1"/>
  <c r="F21" i="24" l="1"/>
  <c r="I15" i="24" s="1"/>
  <c r="N98" i="24"/>
  <c r="N99" i="24" s="1"/>
  <c r="F33" i="24" s="1"/>
  <c r="T42" i="24" s="1"/>
  <c r="F28" i="24" l="1"/>
  <c r="F20" i="24" s="1"/>
  <c r="D17" i="24" s="1"/>
  <c r="I17" i="24" l="1"/>
  <c r="I18" i="24" s="1"/>
  <c r="H15" i="24" s="1"/>
  <c r="H17" i="24" l="1"/>
  <c r="H1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E32" authorId="0" shapeId="0" xr:uid="{D3FB5863-3E6B-47B3-BD9A-78A95531AEF6}">
      <text>
        <r>
          <rPr>
            <b/>
            <sz val="9"/>
            <color rgb="FF000000"/>
            <rFont val="Tahoma"/>
            <family val="2"/>
          </rPr>
          <t xml:space="preserve">Any facilities or assets held by the reporting organisation. </t>
        </r>
      </text>
    </comment>
    <comment ref="F32" authorId="0" shapeId="0" xr:uid="{B8A30EDA-66AB-4817-A711-91A0320B603B}">
      <text>
        <r>
          <rPr>
            <b/>
            <sz val="9"/>
            <color rgb="FF000000"/>
            <rFont val="Tahoma"/>
            <family val="2"/>
          </rPr>
          <t>Location of facilities/assets.</t>
        </r>
      </text>
    </comment>
    <comment ref="J32" authorId="0" shapeId="0" xr:uid="{A19D5E48-4551-4215-B0AA-4560B329903F}">
      <text>
        <r>
          <rPr>
            <b/>
            <sz val="9"/>
            <color rgb="FF000000"/>
            <rFont val="Tahoma"/>
            <family val="2"/>
          </rPr>
          <t xml:space="preserve">Any facilities or assets held by the reporting organisation. </t>
        </r>
      </text>
    </comment>
    <comment ref="K32" authorId="0" shapeId="0" xr:uid="{BC21CCDA-37B6-413C-957D-7FF9E5C5375B}">
      <text>
        <r>
          <rPr>
            <b/>
            <sz val="9"/>
            <color indexed="81"/>
            <rFont val="Tahoma"/>
            <family val="2"/>
          </rPr>
          <t>Location of facilities/assets.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E34" authorId="0" shapeId="0" xr:uid="{3CF3D165-6EE4-4B48-B7EF-94D0797C46E9}">
      <text>
        <r>
          <rPr>
            <b/>
            <sz val="9"/>
            <color indexed="81"/>
            <rFont val="Tahoma"/>
            <family val="2"/>
          </rPr>
          <t>Any Fuels WTT or Electricity WTT &amp; T&amp;D emissions. Automatically calculated from input sheets.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C68" authorId="0" shapeId="0" xr:uid="{0F6DCF2B-CE25-4C1F-ABAB-AD3293C6AE45}">
      <text>
        <r>
          <rPr>
            <b/>
            <sz val="9"/>
            <color indexed="81"/>
            <rFont val="Tahoma"/>
            <family val="2"/>
          </rPr>
          <t>Gross CV - DEFRA</t>
        </r>
      </text>
    </comment>
    <comment ref="C69" authorId="0" shapeId="0" xr:uid="{0E6A7C9C-DE2D-4D4C-9934-401591C90653}">
      <text>
        <r>
          <rPr>
            <b/>
            <sz val="9"/>
            <color indexed="81"/>
            <rFont val="Tahoma"/>
            <family val="2"/>
          </rPr>
          <t>Gross CV - DEFRA</t>
        </r>
      </text>
    </comment>
    <comment ref="C70" authorId="0" shapeId="0" xr:uid="{639EB894-7234-4642-A245-056ECE7ED2D0}">
      <text>
        <r>
          <rPr>
            <b/>
            <sz val="9"/>
            <color indexed="81"/>
            <rFont val="Tahoma"/>
            <family val="2"/>
          </rPr>
          <t>Gross CV - DEFRA</t>
        </r>
      </text>
    </comment>
    <comment ref="C71" authorId="0" shapeId="0" xr:uid="{697BBFC9-879A-41FC-B65E-5DA684984587}">
      <text>
        <r>
          <rPr>
            <b/>
            <sz val="9"/>
            <color indexed="81"/>
            <rFont val="Tahoma"/>
            <family val="2"/>
          </rPr>
          <t>Gross CV - DEFRA</t>
        </r>
      </text>
    </comment>
    <comment ref="C72" authorId="0" shapeId="0" xr:uid="{CC5D38B9-1F4F-43C5-B08C-AF4F4BF09CA6}">
      <text>
        <r>
          <rPr>
            <b/>
            <sz val="9"/>
            <color indexed="81"/>
            <rFont val="Tahoma"/>
            <family val="2"/>
          </rPr>
          <t>Gross CV - DEFRA</t>
        </r>
      </text>
    </comment>
    <comment ref="C73" authorId="0" shapeId="0" xr:uid="{7EDE3F52-692B-4E8D-B694-EEC12C325743}">
      <text>
        <r>
          <rPr>
            <b/>
            <sz val="9"/>
            <color indexed="81"/>
            <rFont val="Tahoma"/>
            <family val="2"/>
          </rPr>
          <t>Gross CV - DEFRA</t>
        </r>
      </text>
    </comment>
    <comment ref="C74" authorId="0" shapeId="0" xr:uid="{4BD79981-4CEB-4F15-9624-A1E2214DA124}">
      <text>
        <r>
          <rPr>
            <b/>
            <sz val="9"/>
            <color indexed="81"/>
            <rFont val="Tahoma"/>
            <family val="2"/>
          </rPr>
          <t>Gross CV - DEFRA</t>
        </r>
      </text>
    </comment>
    <comment ref="C75" authorId="0" shapeId="0" xr:uid="{4D8E5781-8AF8-4DBA-BB1A-2D093D3883F8}">
      <text>
        <r>
          <rPr>
            <b/>
            <sz val="9"/>
            <color indexed="81"/>
            <rFont val="Tahoma"/>
            <family val="2"/>
          </rPr>
          <t>Gross CV - DEFRA</t>
        </r>
      </text>
    </comment>
    <comment ref="C76" authorId="0" shapeId="0" xr:uid="{4BE29113-2C9C-4496-A02D-B6FF3F5783D7}">
      <text>
        <r>
          <rPr>
            <b/>
            <sz val="9"/>
            <color indexed="81"/>
            <rFont val="Tahoma"/>
            <family val="2"/>
          </rPr>
          <t>Gross CV - DEFRA</t>
        </r>
      </text>
    </comment>
    <comment ref="C77" authorId="0" shapeId="0" xr:uid="{66EE924F-CF6F-4E02-9F85-14D7E6F6ADA7}">
      <text>
        <r>
          <rPr>
            <b/>
            <sz val="9"/>
            <color indexed="81"/>
            <rFont val="Tahoma"/>
            <family val="2"/>
          </rPr>
          <t>Gross CV - DEFRA</t>
        </r>
      </text>
    </comment>
    <comment ref="C78" authorId="0" shapeId="0" xr:uid="{D70CD66F-182A-4229-973A-DED17BF7C9FB}">
      <text>
        <r>
          <rPr>
            <b/>
            <sz val="9"/>
            <color indexed="81"/>
            <rFont val="Tahoma"/>
            <family val="2"/>
          </rPr>
          <t>Gross CV - DEFRA</t>
        </r>
      </text>
    </comment>
    <comment ref="C79" authorId="0" shapeId="0" xr:uid="{426059E5-912B-41C6-ABA1-CEF34B7ABDD4}">
      <text>
        <r>
          <rPr>
            <b/>
            <sz val="9"/>
            <color indexed="81"/>
            <rFont val="Tahoma"/>
            <family val="2"/>
          </rPr>
          <t>Gross CV - DEFRA</t>
        </r>
      </text>
    </comment>
    <comment ref="C80" authorId="0" shapeId="0" xr:uid="{4108913C-9933-4F18-B40C-76876D86D238}">
      <text>
        <r>
          <rPr>
            <b/>
            <sz val="9"/>
            <color indexed="81"/>
            <rFont val="Tahoma"/>
            <family val="2"/>
          </rPr>
          <t>Gross CV - DEFRA</t>
        </r>
      </text>
    </comment>
    <comment ref="C81" authorId="0" shapeId="0" xr:uid="{440C1A89-EEAA-4F69-B965-44EC7ABD24EC}">
      <text>
        <r>
          <rPr>
            <b/>
            <sz val="9"/>
            <color indexed="81"/>
            <rFont val="Tahoma"/>
            <family val="2"/>
          </rPr>
          <t>Gross CV - DEFRA</t>
        </r>
      </text>
    </comment>
    <comment ref="C82" authorId="0" shapeId="0" xr:uid="{A4C50565-0B23-496B-AA88-65821D63C7F9}">
      <text>
        <r>
          <rPr>
            <b/>
            <sz val="9"/>
            <color indexed="81"/>
            <rFont val="Tahoma"/>
            <family val="2"/>
          </rPr>
          <t>Gross CV - DEFRA</t>
        </r>
      </text>
    </comment>
    <comment ref="C83" authorId="0" shapeId="0" xr:uid="{384FB786-1DB5-418A-895E-FDF7FB2F5754}">
      <text>
        <r>
          <rPr>
            <b/>
            <sz val="9"/>
            <color indexed="81"/>
            <rFont val="Tahoma"/>
            <family val="2"/>
          </rPr>
          <t>Gross CV - DEFRA</t>
        </r>
      </text>
    </comment>
    <comment ref="C84" authorId="0" shapeId="0" xr:uid="{7EB4C5BE-BCF3-4AA0-B5FE-14D0AB5C618E}">
      <text>
        <r>
          <rPr>
            <b/>
            <sz val="9"/>
            <color indexed="81"/>
            <rFont val="Tahoma"/>
            <family val="2"/>
          </rPr>
          <t>Gross CV - DEFRA</t>
        </r>
      </text>
    </comment>
    <comment ref="C88" authorId="0" shapeId="0" xr:uid="{38FEE8F6-C997-4DF0-988D-5E54514949D2}">
      <text>
        <r>
          <rPr>
            <b/>
            <sz val="9"/>
            <color indexed="81"/>
            <rFont val="Tahoma"/>
            <family val="2"/>
          </rPr>
          <t>Gross CV - DEFRA</t>
        </r>
      </text>
    </comment>
    <comment ref="C89" authorId="0" shapeId="0" xr:uid="{DDFA7C1E-7615-4BB8-95D0-76C1306A7A98}">
      <text>
        <r>
          <rPr>
            <b/>
            <sz val="9"/>
            <color indexed="81"/>
            <rFont val="Tahoma"/>
            <family val="2"/>
          </rPr>
          <t>Gross CV - DEFRA</t>
        </r>
      </text>
    </comment>
    <comment ref="C90" authorId="0" shapeId="0" xr:uid="{690DF742-F342-4515-906C-5DF489430433}">
      <text>
        <r>
          <rPr>
            <b/>
            <sz val="9"/>
            <color indexed="81"/>
            <rFont val="Tahoma"/>
            <family val="2"/>
          </rPr>
          <t>Gross CV - DEFRA</t>
        </r>
      </text>
    </comment>
    <comment ref="C91" authorId="0" shapeId="0" xr:uid="{39426CE8-0EAB-4E1B-A426-F002883CD0AF}">
      <text>
        <r>
          <rPr>
            <b/>
            <sz val="9"/>
            <color indexed="81"/>
            <rFont val="Tahoma"/>
            <family val="2"/>
          </rPr>
          <t>Gross CV - DEFRA</t>
        </r>
      </text>
    </comment>
    <comment ref="C92" authorId="0" shapeId="0" xr:uid="{1A222399-5949-4EAA-BD11-B071CB7B82C9}">
      <text>
        <r>
          <rPr>
            <b/>
            <sz val="9"/>
            <color indexed="81"/>
            <rFont val="Tahoma"/>
            <family val="2"/>
          </rPr>
          <t>Gross CV - DEFRA</t>
        </r>
      </text>
    </comment>
    <comment ref="C93" authorId="0" shapeId="0" xr:uid="{CD8473B4-ADBD-4AB5-AC25-17AB7E931E83}">
      <text>
        <r>
          <rPr>
            <b/>
            <sz val="9"/>
            <color indexed="81"/>
            <rFont val="Tahoma"/>
            <family val="2"/>
          </rPr>
          <t>Gross CV - DEFRA</t>
        </r>
      </text>
    </comment>
    <comment ref="C94" authorId="0" shapeId="0" xr:uid="{BDC258B3-F28B-4E58-98DA-E360D1F397A7}">
      <text>
        <r>
          <rPr>
            <b/>
            <sz val="9"/>
            <color indexed="81"/>
            <rFont val="Tahoma"/>
            <family val="2"/>
          </rPr>
          <t>Gross CV - DEFRA</t>
        </r>
      </text>
    </comment>
    <comment ref="C95" authorId="0" shapeId="0" xr:uid="{2606B863-F8AF-4B67-8C72-27BE4A4134DC}">
      <text>
        <r>
          <rPr>
            <b/>
            <sz val="9"/>
            <color indexed="81"/>
            <rFont val="Tahoma"/>
            <family val="2"/>
          </rPr>
          <t>Gross CV - DEFRA</t>
        </r>
      </text>
    </comment>
    <comment ref="C96" authorId="0" shapeId="0" xr:uid="{17E6362E-1A53-4B1A-B2C3-FBD5DDDC8E37}">
      <text>
        <r>
          <rPr>
            <b/>
            <sz val="9"/>
            <color indexed="81"/>
            <rFont val="Tahoma"/>
            <family val="2"/>
          </rPr>
          <t>Gross CV - DEFRA</t>
        </r>
      </text>
    </comment>
    <comment ref="C97" authorId="0" shapeId="0" xr:uid="{F54C265F-DBEC-4E7F-A46A-659C131D96A7}">
      <text>
        <r>
          <rPr>
            <b/>
            <sz val="9"/>
            <color indexed="81"/>
            <rFont val="Tahoma"/>
            <family val="2"/>
          </rPr>
          <t>Gross CV - DEFRA</t>
        </r>
      </text>
    </comment>
    <comment ref="C98" authorId="0" shapeId="0" xr:uid="{288EE373-08FC-4D96-9A1D-4E2F8D06202D}">
      <text>
        <r>
          <rPr>
            <b/>
            <sz val="9"/>
            <color indexed="81"/>
            <rFont val="Tahoma"/>
            <family val="2"/>
          </rPr>
          <t>Gross CV - DEFRA</t>
        </r>
      </text>
    </comment>
    <comment ref="C99" authorId="0" shapeId="0" xr:uid="{59DBD5F3-DD58-4BF2-AE10-40993A17726D}">
      <text>
        <r>
          <rPr>
            <b/>
            <sz val="9"/>
            <color indexed="81"/>
            <rFont val="Tahoma"/>
            <family val="2"/>
          </rPr>
          <t>Gross CV - DEFRA</t>
        </r>
      </text>
    </comment>
    <comment ref="C100" authorId="0" shapeId="0" xr:uid="{F36E5C43-D4B8-4841-A319-3A7C61C604BC}">
      <text>
        <r>
          <rPr>
            <b/>
            <sz val="9"/>
            <color indexed="81"/>
            <rFont val="Tahoma"/>
            <family val="2"/>
          </rPr>
          <t>Gross CV - DEFRA</t>
        </r>
      </text>
    </comment>
    <comment ref="C101" authorId="0" shapeId="0" xr:uid="{F560E7EC-0596-40B5-9587-830451DE85C5}">
      <text>
        <r>
          <rPr>
            <b/>
            <sz val="9"/>
            <color indexed="81"/>
            <rFont val="Tahoma"/>
            <family val="2"/>
          </rPr>
          <t>Gross CV - DEFRA</t>
        </r>
      </text>
    </comment>
    <comment ref="C102" authorId="0" shapeId="0" xr:uid="{B51EF619-CA4B-4C44-89C5-444DDA9DD05A}">
      <text>
        <r>
          <rPr>
            <b/>
            <sz val="9"/>
            <color indexed="81"/>
            <rFont val="Tahoma"/>
            <family val="2"/>
          </rPr>
          <t>Gross CV - DEFRA</t>
        </r>
      </text>
    </comment>
    <comment ref="C103" authorId="0" shapeId="0" xr:uid="{21FE3895-2FA2-45BF-B359-C95B99EB1E0B}">
      <text>
        <r>
          <rPr>
            <b/>
            <sz val="9"/>
            <color indexed="81"/>
            <rFont val="Tahoma"/>
            <family val="2"/>
          </rPr>
          <t>Gross CV - DEFRA</t>
        </r>
      </text>
    </comment>
    <comment ref="C104" authorId="0" shapeId="0" xr:uid="{BF23676B-B5FE-4977-8495-BCB3ACF746F4}">
      <text>
        <r>
          <rPr>
            <b/>
            <sz val="9"/>
            <color indexed="81"/>
            <rFont val="Tahoma"/>
            <family val="2"/>
          </rPr>
          <t>Gross CV - DEFRA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 Crick</author>
    <author>Maria Gunnleivsdóttir Hansen</author>
  </authors>
  <commentList>
    <comment ref="L40" authorId="0" shapeId="0" xr:uid="{73D0E58D-CDB3-4653-A055-F88EE52A8871}">
      <text>
        <r>
          <rPr>
            <b/>
            <sz val="9"/>
            <color indexed="81"/>
            <rFont val="Tahoma"/>
            <family val="2"/>
          </rPr>
          <t>Consveratively assumed includes District Heating Plants</t>
        </r>
      </text>
    </comment>
    <comment ref="L45" authorId="0" shapeId="0" xr:uid="{ADFEFF8E-710D-4951-B529-BB8A64667879}">
      <text>
        <r>
          <rPr>
            <b/>
            <sz val="9"/>
            <color indexed="81"/>
            <rFont val="Tahoma"/>
            <family val="2"/>
          </rPr>
          <t>Consveratively assumed includes District Heating Plants</t>
        </r>
      </text>
    </comment>
    <comment ref="N45" authorId="1" shapeId="0" xr:uid="{1D5EC343-E968-4719-A438-F8BE0E09E72C}">
      <text>
        <r>
          <rPr>
            <b/>
            <sz val="9"/>
            <color indexed="81"/>
            <rFont val="Tahoma"/>
            <family val="2"/>
          </rPr>
          <t>Maria Gunnleivsdóttir Hansen:</t>
        </r>
        <r>
          <rPr>
            <sz val="9"/>
            <color indexed="81"/>
            <rFont val="Tahoma"/>
            <family val="2"/>
          </rPr>
          <t xml:space="preserve">
2022:
84,10 for all biogas</t>
        </r>
      </text>
    </comment>
    <comment ref="L50" authorId="0" shapeId="0" xr:uid="{EFD9B0B2-17B4-4F0F-88BC-4AA5FDB73417}">
      <text>
        <r>
          <rPr>
            <b/>
            <sz val="9"/>
            <color indexed="81"/>
            <rFont val="Tahoma"/>
            <family val="2"/>
          </rPr>
          <t>Consveratively assumed includes District Heating Plants</t>
        </r>
      </text>
    </comment>
    <comment ref="N50" authorId="1" shapeId="0" xr:uid="{BDBB2873-DF16-4D7E-9482-487ACF475FDF}">
      <text>
        <r>
          <rPr>
            <b/>
            <sz val="9"/>
            <color indexed="81"/>
            <rFont val="Tahoma"/>
            <charset val="1"/>
          </rPr>
          <t>Maria Gunnleivsdóttir Hansen:</t>
        </r>
        <r>
          <rPr>
            <sz val="9"/>
            <color indexed="81"/>
            <rFont val="Tahoma"/>
            <charset val="1"/>
          </rPr>
          <t xml:space="preserve">
2022: 
112,00 for all wood pellets</t>
        </r>
      </text>
    </comment>
    <comment ref="O71" authorId="1" shapeId="0" xr:uid="{1EA0D2C4-E9FA-477D-AAFA-176982A068DB}">
      <text>
        <r>
          <rPr>
            <b/>
            <sz val="9"/>
            <color indexed="81"/>
            <rFont val="Tahoma"/>
            <family val="2"/>
          </rPr>
          <t>Maria Gunnleivsdóttir Hansen:</t>
        </r>
        <r>
          <rPr>
            <sz val="9"/>
            <color indexed="81"/>
            <rFont val="Tahoma"/>
            <family val="2"/>
          </rPr>
          <t xml:space="preserve">
0,00181429945225498</t>
        </r>
      </text>
    </comment>
    <comment ref="O73" authorId="1" shapeId="0" xr:uid="{75C2402F-C1B4-4C0C-ABFF-D2D800A6971D}">
      <text>
        <r>
          <rPr>
            <b/>
            <sz val="9"/>
            <color indexed="81"/>
            <rFont val="Tahoma"/>
            <family val="2"/>
          </rPr>
          <t>Maria Gunnleivsdóttir Hansen:</t>
        </r>
        <r>
          <rPr>
            <sz val="9"/>
            <color indexed="81"/>
            <rFont val="Tahoma"/>
            <family val="2"/>
          </rPr>
          <t xml:space="preserve">
0,00165887386017792</t>
        </r>
      </text>
    </comment>
    <comment ref="O75" authorId="1" shapeId="0" xr:uid="{56FC10D0-603C-42AA-A1AE-CA4DBA27A289}">
      <text>
        <r>
          <rPr>
            <b/>
            <sz val="9"/>
            <color indexed="81"/>
            <rFont val="Tahoma"/>
            <family val="2"/>
          </rPr>
          <t>Maria Gunnleivsdóttir Hansen:</t>
        </r>
        <r>
          <rPr>
            <sz val="9"/>
            <color indexed="81"/>
            <rFont val="Tahoma"/>
            <family val="2"/>
          </rPr>
          <t xml:space="preserve">
0,00187761935358139</t>
        </r>
      </text>
    </comment>
    <comment ref="O76" authorId="1" shapeId="0" xr:uid="{BAB74045-6F7E-48C4-803D-FA0E4DB8AFFC}">
      <text>
        <r>
          <rPr>
            <b/>
            <sz val="9"/>
            <color indexed="81"/>
            <rFont val="Tahoma"/>
            <family val="2"/>
          </rPr>
          <t>Maria Gunnleivsdóttir Hansen:</t>
        </r>
        <r>
          <rPr>
            <sz val="9"/>
            <color indexed="81"/>
            <rFont val="Tahoma"/>
            <family val="2"/>
          </rPr>
          <t xml:space="preserve">
0,00207068056983568</t>
        </r>
      </text>
    </comment>
    <comment ref="O77" authorId="1" shapeId="0" xr:uid="{5D654685-0236-4CD5-8128-F39E415111E3}">
      <text>
        <r>
          <rPr>
            <b/>
            <sz val="9"/>
            <color indexed="81"/>
            <rFont val="Tahoma"/>
            <family val="2"/>
          </rPr>
          <t>Maria Gunnleivsdóttir Hansen:</t>
        </r>
        <r>
          <rPr>
            <sz val="9"/>
            <color indexed="81"/>
            <rFont val="Tahoma"/>
            <family val="2"/>
          </rPr>
          <t xml:space="preserve">
Áður 0,00238</t>
        </r>
      </text>
    </comment>
    <comment ref="P77" authorId="1" shapeId="0" xr:uid="{FE3B5212-52B3-4577-8A70-18ED32AD070F}">
      <text>
        <r>
          <rPr>
            <b/>
            <sz val="9"/>
            <color indexed="81"/>
            <rFont val="Tahoma"/>
            <family val="2"/>
          </rPr>
          <t>Maria Gunnleivsdóttir Hansen:</t>
        </r>
        <r>
          <rPr>
            <sz val="9"/>
            <color indexed="81"/>
            <rFont val="Tahoma"/>
            <family val="2"/>
          </rPr>
          <t xml:space="preserve">
Áður: 0,00032</t>
        </r>
      </text>
    </comment>
    <comment ref="O80" authorId="1" shapeId="0" xr:uid="{870AD741-7E2B-40A6-AA23-30E9A48BA2CF}">
      <text>
        <r>
          <rPr>
            <b/>
            <sz val="9"/>
            <color indexed="81"/>
            <rFont val="Tahoma"/>
            <family val="2"/>
          </rPr>
          <t>Maria Gunnleivsdóttir Hansen:</t>
        </r>
        <r>
          <rPr>
            <sz val="9"/>
            <color indexed="81"/>
            <rFont val="Tahoma"/>
            <family val="2"/>
          </rPr>
          <t xml:space="preserve">
0,00238</t>
        </r>
      </text>
    </comment>
    <comment ref="P80" authorId="1" shapeId="0" xr:uid="{B12D6ACC-66EF-4BBB-858F-081D500F1BB6}">
      <text>
        <r>
          <rPr>
            <b/>
            <sz val="9"/>
            <color indexed="81"/>
            <rFont val="Tahoma"/>
            <family val="2"/>
          </rPr>
          <t>Maria Gunnleivsdóttir Hansen:</t>
        </r>
        <r>
          <rPr>
            <sz val="9"/>
            <color indexed="81"/>
            <rFont val="Tahoma"/>
            <family val="2"/>
          </rPr>
          <t xml:space="preserve">
0,00032</t>
        </r>
      </text>
    </comment>
    <comment ref="O81" authorId="1" shapeId="0" xr:uid="{4E88E6D4-B791-4E3F-BDB0-37CA7D2D7556}">
      <text>
        <r>
          <rPr>
            <b/>
            <sz val="9"/>
            <color indexed="81"/>
            <rFont val="Tahoma"/>
            <family val="2"/>
          </rPr>
          <t>Maria Gunnleivsdóttir Hansen:</t>
        </r>
        <r>
          <rPr>
            <sz val="9"/>
            <color indexed="81"/>
            <rFont val="Tahoma"/>
            <family val="2"/>
          </rPr>
          <t xml:space="preserve">
0,00297</t>
        </r>
      </text>
    </comment>
    <comment ref="P81" authorId="1" shapeId="0" xr:uid="{A9BDF3F1-59D6-4F24-9576-2F00B5D76F4B}">
      <text>
        <r>
          <rPr>
            <b/>
            <sz val="9"/>
            <color indexed="81"/>
            <rFont val="Tahoma"/>
            <family val="2"/>
          </rPr>
          <t>Maria Gunnleivsdóttir Hansen:</t>
        </r>
        <r>
          <rPr>
            <sz val="9"/>
            <color indexed="81"/>
            <rFont val="Tahoma"/>
            <family val="2"/>
          </rPr>
          <t xml:space="preserve">
0,00127</t>
        </r>
      </text>
    </comment>
    <comment ref="O196" authorId="1" shapeId="0" xr:uid="{07226091-20AD-42B0-916B-CBEF3B9FB617}">
      <text>
        <r>
          <rPr>
            <b/>
            <sz val="9"/>
            <color indexed="81"/>
            <rFont val="Tahoma"/>
            <family val="2"/>
          </rPr>
          <t>Maria Gunnleivsdóttir Hansen:</t>
        </r>
        <r>
          <rPr>
            <sz val="9"/>
            <color indexed="81"/>
            <rFont val="Tahoma"/>
            <family val="2"/>
          </rPr>
          <t xml:space="preserve">
0,00181429945225498</t>
        </r>
      </text>
    </comment>
    <comment ref="O198" authorId="1" shapeId="0" xr:uid="{06D31842-178C-4B22-BC92-4BB11CDE5182}">
      <text>
        <r>
          <rPr>
            <b/>
            <sz val="9"/>
            <color indexed="81"/>
            <rFont val="Tahoma"/>
            <family val="2"/>
          </rPr>
          <t>Maria Gunnleivsdóttir Hansen:</t>
        </r>
        <r>
          <rPr>
            <sz val="9"/>
            <color indexed="81"/>
            <rFont val="Tahoma"/>
            <family val="2"/>
          </rPr>
          <t xml:space="preserve">
0,00165887386017792</t>
        </r>
      </text>
    </comment>
    <comment ref="O200" authorId="1" shapeId="0" xr:uid="{D446F987-6743-43A2-81F4-869E6E03668D}">
      <text>
        <r>
          <rPr>
            <b/>
            <sz val="9"/>
            <color indexed="81"/>
            <rFont val="Tahoma"/>
            <family val="2"/>
          </rPr>
          <t>Maria Gunnleivsdóttir Hansen:</t>
        </r>
        <r>
          <rPr>
            <sz val="9"/>
            <color indexed="81"/>
            <rFont val="Tahoma"/>
            <family val="2"/>
          </rPr>
          <t xml:space="preserve">
0,00187761935358139</t>
        </r>
      </text>
    </comment>
    <comment ref="O201" authorId="1" shapeId="0" xr:uid="{B59C8D2F-1721-468B-9303-16F09ED0968C}">
      <text>
        <r>
          <rPr>
            <b/>
            <sz val="9"/>
            <color indexed="81"/>
            <rFont val="Tahoma"/>
            <family val="2"/>
          </rPr>
          <t>Maria Gunnleivsdóttir Hansen:</t>
        </r>
        <r>
          <rPr>
            <sz val="9"/>
            <color indexed="81"/>
            <rFont val="Tahoma"/>
            <family val="2"/>
          </rPr>
          <t xml:space="preserve">
0,00207068056983568</t>
        </r>
      </text>
    </comment>
    <comment ref="O202" authorId="1" shapeId="0" xr:uid="{FF6647C3-4716-450D-B320-45EBEBA4B490}">
      <text>
        <r>
          <rPr>
            <b/>
            <sz val="9"/>
            <color indexed="81"/>
            <rFont val="Tahoma"/>
            <family val="2"/>
          </rPr>
          <t>Maria Gunnleivsdóttir Hansen:</t>
        </r>
        <r>
          <rPr>
            <sz val="9"/>
            <color indexed="81"/>
            <rFont val="Tahoma"/>
            <family val="2"/>
          </rPr>
          <t xml:space="preserve">
Áður 0,00238</t>
        </r>
      </text>
    </comment>
    <comment ref="P202" authorId="1" shapeId="0" xr:uid="{22CFC1C7-9775-4D8E-A80E-4F3D8A9D94C2}">
      <text>
        <r>
          <rPr>
            <b/>
            <sz val="9"/>
            <color indexed="81"/>
            <rFont val="Tahoma"/>
            <family val="2"/>
          </rPr>
          <t>Maria Gunnleivsdóttir Hansen:</t>
        </r>
        <r>
          <rPr>
            <sz val="9"/>
            <color indexed="81"/>
            <rFont val="Tahoma"/>
            <family val="2"/>
          </rPr>
          <t xml:space="preserve">
Áður: 0,00032</t>
        </r>
      </text>
    </comment>
    <comment ref="O205" authorId="1" shapeId="0" xr:uid="{C09F81E7-018B-4644-A7D7-E25507EA6F01}">
      <text>
        <r>
          <rPr>
            <b/>
            <sz val="9"/>
            <color indexed="81"/>
            <rFont val="Tahoma"/>
            <family val="2"/>
          </rPr>
          <t>Maria Gunnleivsdóttir Hansen:</t>
        </r>
        <r>
          <rPr>
            <sz val="9"/>
            <color indexed="81"/>
            <rFont val="Tahoma"/>
            <family val="2"/>
          </rPr>
          <t xml:space="preserve">
0,00238</t>
        </r>
      </text>
    </comment>
    <comment ref="P205" authorId="1" shapeId="0" xr:uid="{491C0461-B016-4625-B353-16E1D5F2A44C}">
      <text>
        <r>
          <rPr>
            <b/>
            <sz val="9"/>
            <color indexed="81"/>
            <rFont val="Tahoma"/>
            <family val="2"/>
          </rPr>
          <t>Maria Gunnleivsdóttir Hansen:</t>
        </r>
        <r>
          <rPr>
            <sz val="9"/>
            <color indexed="81"/>
            <rFont val="Tahoma"/>
            <family val="2"/>
          </rPr>
          <t xml:space="preserve">
0,00032</t>
        </r>
      </text>
    </comment>
    <comment ref="O206" authorId="1" shapeId="0" xr:uid="{F45C29D8-4220-4FA3-BC82-AD8CAFB10C2B}">
      <text>
        <r>
          <rPr>
            <b/>
            <sz val="9"/>
            <color indexed="81"/>
            <rFont val="Tahoma"/>
            <family val="2"/>
          </rPr>
          <t>Maria Gunnleivsdóttir Hansen:</t>
        </r>
        <r>
          <rPr>
            <sz val="9"/>
            <color indexed="81"/>
            <rFont val="Tahoma"/>
            <family val="2"/>
          </rPr>
          <t xml:space="preserve">
0,00297</t>
        </r>
      </text>
    </comment>
    <comment ref="P206" authorId="1" shapeId="0" xr:uid="{515F47BE-FACD-49FE-91FA-A717A1BE032D}">
      <text>
        <r>
          <rPr>
            <b/>
            <sz val="9"/>
            <color indexed="81"/>
            <rFont val="Tahoma"/>
            <family val="2"/>
          </rPr>
          <t>Maria Gunnleivsdóttir Hansen:</t>
        </r>
        <r>
          <rPr>
            <sz val="9"/>
            <color indexed="81"/>
            <rFont val="Tahoma"/>
            <family val="2"/>
          </rPr>
          <t xml:space="preserve">
0,00127</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<sst xmlns="http://schemas.openxmlformats.org/spreadsheetml/2006/main" count="9297" uniqueCount="1339">
  <si>
    <t>Introduction - Title</t>
  </si>
  <si>
    <t>Introduction</t>
  </si>
  <si>
    <t>Language</t>
  </si>
  <si>
    <t>Version</t>
  </si>
  <si>
    <t>Introduction - Calculator</t>
  </si>
  <si>
    <t>Introduction - Scopes</t>
  </si>
  <si>
    <t>Introduction - Scopes included</t>
  </si>
  <si>
    <t>Introduction - Scope</t>
  </si>
  <si>
    <t>Introduction -Activity Type</t>
  </si>
  <si>
    <t>Introduction - Description</t>
  </si>
  <si>
    <t>Introduction - Scope 1</t>
  </si>
  <si>
    <t>Introduction - Fuels SC</t>
  </si>
  <si>
    <t>English</t>
  </si>
  <si>
    <t>Introduction - Fuels MB</t>
  </si>
  <si>
    <t>Introduction - Refrigerants</t>
  </si>
  <si>
    <t>Introduction - Fuels SC Descrip</t>
  </si>
  <si>
    <t>Introduction - Fuels MB Descrip</t>
  </si>
  <si>
    <t>Introduction - Refrigerants Descrip</t>
  </si>
  <si>
    <t>GHG Protocol Corporate Standard</t>
  </si>
  <si>
    <t>Introduction - Scope 2</t>
  </si>
  <si>
    <t>GHG Protocol Scope 2 Guidance</t>
  </si>
  <si>
    <t>Introduction - Purchased Electricity</t>
  </si>
  <si>
    <t>Technical Guidance for Calculating Scope 3 emissions</t>
  </si>
  <si>
    <t>Introduction - District Heating</t>
  </si>
  <si>
    <t>Introduction - Purchased Electricity Descrip</t>
  </si>
  <si>
    <t>Introduction - District Heating Descrip</t>
  </si>
  <si>
    <t>Introduction - Scope 3</t>
  </si>
  <si>
    <t>Introduction - UPDT</t>
  </si>
  <si>
    <t>Introduction - Fuel and Energy Related Activities</t>
  </si>
  <si>
    <t>Introduction - Waste Generated</t>
  </si>
  <si>
    <t>Introduction - Business Travel</t>
  </si>
  <si>
    <t>Introduction - Employee Commuting</t>
  </si>
  <si>
    <t>Introduction - DPDT</t>
  </si>
  <si>
    <t>GHG Protocol Corporate Standard (page 27)</t>
  </si>
  <si>
    <t>Introduction - UPDT Descrip</t>
  </si>
  <si>
    <t>Introduction - Fuel and Energy Related Activities Descrip</t>
  </si>
  <si>
    <t>Introduction - Waste Generated Descrip</t>
  </si>
  <si>
    <t>GHG Protocol Scope 2 Guidance (page 35)</t>
  </si>
  <si>
    <t>Introduction - Business Travel Descrip</t>
  </si>
  <si>
    <t>Introduction - Employee Commuting Descrip</t>
  </si>
  <si>
    <t>Technical Guidance for Calculating Scope 3 emissions (page 49)</t>
  </si>
  <si>
    <t>Introduction - DSDT Descrip</t>
  </si>
  <si>
    <t>Technical Guidance for Calculating Scope 3 emissions (page 102)</t>
  </si>
  <si>
    <t>Introduction - How to use instructions</t>
  </si>
  <si>
    <t>Technical Guidance for Calculating Scope 3 emissions (page 81)</t>
  </si>
  <si>
    <t>Introduction - How to use</t>
  </si>
  <si>
    <t>Technical Guidance for Calculating Scope 3 emissions (page 87)</t>
  </si>
  <si>
    <t>Introduction - How to Use description</t>
  </si>
  <si>
    <t>Technical Guidance for Calculating Scope 3 emissions (page 72)</t>
  </si>
  <si>
    <t>Introduction - How to Use - 2</t>
  </si>
  <si>
    <t>Technical Guidance for Calculating Scope 3 emissions (page 38)</t>
  </si>
  <si>
    <t>Introduction - How to Use - 3</t>
  </si>
  <si>
    <t>Technical Guidance for Calculating Scope 3 emissions (page 20)</t>
  </si>
  <si>
    <t>Introduction - How to Use - 4</t>
  </si>
  <si>
    <t>Technical Guidance for Calculating Scope 3 emissions (page 36)</t>
  </si>
  <si>
    <t>Introduction - Included GHGs</t>
  </si>
  <si>
    <t>Technical Guidance for Calculating Scope 3 emissions (page 94)</t>
  </si>
  <si>
    <t>Introduction - Included GHGs Description</t>
  </si>
  <si>
    <t>Technical Guidance for Calculating Scope 3 emissions (page 106)</t>
  </si>
  <si>
    <t>Introduction - Disclaimer</t>
  </si>
  <si>
    <t>Technical Guidance for Calculating Scope 3 emissions (page 113)</t>
  </si>
  <si>
    <t>Introduction - Emission Factors Description</t>
  </si>
  <si>
    <t>Technical Guidance for Calculating Scope 3 emissions (page 125)</t>
  </si>
  <si>
    <t>Introduction - Disclaimer Description</t>
  </si>
  <si>
    <t>Technical Guidance for Calculating Scope 3 emissions (page 128)</t>
  </si>
  <si>
    <t>Introduction - Relevant Guidance</t>
  </si>
  <si>
    <t>Technical Guidance for Calculating Scope 3 emissions (page 130)</t>
  </si>
  <si>
    <t>Introduction - Emission Factors</t>
  </si>
  <si>
    <t>Technical Guidance for Calculating Scope 3 emissions (page 136)</t>
  </si>
  <si>
    <t>Version Description</t>
  </si>
  <si>
    <t>Introduction - Purchased goods and services</t>
  </si>
  <si>
    <t>Introduction - Capital goods</t>
  </si>
  <si>
    <t>Introduction - Upstream leased assets</t>
  </si>
  <si>
    <t>Introduction - Processing of sold products</t>
  </si>
  <si>
    <t>Introduction - Use of sold products</t>
  </si>
  <si>
    <t>Introduction - End-of-life treatment of sold products</t>
  </si>
  <si>
    <t>Introduction - Downstream leased assets</t>
  </si>
  <si>
    <t>Introduction - Franchises</t>
  </si>
  <si>
    <t>Introduction - Investments</t>
  </si>
  <si>
    <t>Introduction - Scope 3 N/A</t>
  </si>
  <si>
    <t>Introduction - beta disclaimer</t>
  </si>
  <si>
    <t>Contents</t>
  </si>
  <si>
    <t>Contents - Sheets</t>
  </si>
  <si>
    <t>Contents - Description</t>
  </si>
  <si>
    <t>Contents - Introduction Description</t>
  </si>
  <si>
    <t>Contents - Contents Description</t>
  </si>
  <si>
    <t>Contents - Organisation Details Description</t>
  </si>
  <si>
    <t>Contents - Summary Description</t>
  </si>
  <si>
    <t>Contents - S1 - Fuels (Stationary) Description</t>
  </si>
  <si>
    <t>Contents - S1 - Fuels (Mobile) Description</t>
  </si>
  <si>
    <t>Contents - S1 - Refrigerants Description</t>
  </si>
  <si>
    <t>Contents - S2 - Purchased Electricity Description</t>
  </si>
  <si>
    <t>Contents - S2 - District Heating Description</t>
  </si>
  <si>
    <t>Organisation Details</t>
  </si>
  <si>
    <t>Contents - S3 - Upstream Transportation and Distribution Description</t>
  </si>
  <si>
    <t>Summary</t>
  </si>
  <si>
    <t>Contents - S3 - Downstream Transportation and Distribution Description</t>
  </si>
  <si>
    <t>S1 - Fuels (Stationary)</t>
  </si>
  <si>
    <t>Contents - S3 - Business Travel Description</t>
  </si>
  <si>
    <t>S1 - Fuels (Mobile)</t>
  </si>
  <si>
    <t>Contents - S3 - Employee Commuting Description</t>
  </si>
  <si>
    <t>S1 - Refrigerants</t>
  </si>
  <si>
    <t>Contents - S3 - Waste Generated in Operations Description</t>
  </si>
  <si>
    <t>S2 - Purchased Electricity</t>
  </si>
  <si>
    <t>Contents - Emission Factors Description</t>
  </si>
  <si>
    <t>S2 - District Heating</t>
  </si>
  <si>
    <t>Contents - Dropdown Description</t>
  </si>
  <si>
    <t>S3 - Upstream Transportation and Distribution</t>
  </si>
  <si>
    <t>Contents - Conversions Description</t>
  </si>
  <si>
    <t>S3 - Downstream Transportation and Distribution</t>
  </si>
  <si>
    <t>Contents - Descriptions Description</t>
  </si>
  <si>
    <t>S3 - Business Travel</t>
  </si>
  <si>
    <t>Contents - GWPs Description</t>
  </si>
  <si>
    <t>S3 - Employee Commuting</t>
  </si>
  <si>
    <t>S3 - Waste Generated in Operations</t>
  </si>
  <si>
    <t>Emission Factors</t>
  </si>
  <si>
    <t>Dropdown</t>
  </si>
  <si>
    <t>Organisation Details - Introduction</t>
  </si>
  <si>
    <t>Organisation Details - Organisation</t>
  </si>
  <si>
    <t>Organisation Details - Reporting Year</t>
  </si>
  <si>
    <t>Organisation Details - Reporting Year Type</t>
  </si>
  <si>
    <t>Organisation Details - User</t>
  </si>
  <si>
    <t>Organisation Details - Facility/Asset and Location</t>
  </si>
  <si>
    <t>Organisation Details - Facility/Asset</t>
  </si>
  <si>
    <t>Organisation Details - Location</t>
  </si>
  <si>
    <t>Organisation Details - Lookup</t>
  </si>
  <si>
    <t>Key</t>
  </si>
  <si>
    <t>Key - Dropdown</t>
  </si>
  <si>
    <t>Key - Manual Entry</t>
  </si>
  <si>
    <t>Key - Lookup (locked)</t>
  </si>
  <si>
    <t>Key - Calculation</t>
  </si>
  <si>
    <t>Instructions</t>
  </si>
  <si>
    <t>Buildings</t>
  </si>
  <si>
    <t>Offices</t>
  </si>
  <si>
    <t>Storage</t>
  </si>
  <si>
    <t>Fleet</t>
  </si>
  <si>
    <t>Additional Comments</t>
  </si>
  <si>
    <t>Additional comments - description</t>
  </si>
  <si>
    <t>Example Faroes Organisation</t>
  </si>
  <si>
    <t>Additional comments - notes</t>
  </si>
  <si>
    <t>All</t>
  </si>
  <si>
    <t>Annual</t>
  </si>
  <si>
    <t>Tórshavn</t>
  </si>
  <si>
    <t>Klaksvik</t>
  </si>
  <si>
    <t>Scope</t>
  </si>
  <si>
    <t>Category</t>
  </si>
  <si>
    <t>Total</t>
  </si>
  <si>
    <t>Scope 1</t>
  </si>
  <si>
    <t xml:space="preserve">Scope 2 </t>
  </si>
  <si>
    <t>Scope 3</t>
  </si>
  <si>
    <t>Scope 1 - Fuels - Stationary Combustion</t>
  </si>
  <si>
    <t>Scope 2</t>
  </si>
  <si>
    <t>Scope 1 - Fuels - Mobile Combustion</t>
  </si>
  <si>
    <t>Scope 1 - Refrigerants</t>
  </si>
  <si>
    <t>Scope 2 - Purchased Electricity - Location Based</t>
  </si>
  <si>
    <t>tCO2e</t>
  </si>
  <si>
    <t>Scope 2 - District Heating</t>
  </si>
  <si>
    <t>Scope 3 - Upstream Transportation and Distribution</t>
  </si>
  <si>
    <t>Scope 3 - Downstream Transportation and Distribution</t>
  </si>
  <si>
    <t>Scope 3 - Business Travel</t>
  </si>
  <si>
    <t>Scope 3 - Employee Commuting</t>
  </si>
  <si>
    <t>Scope 3 - Waste Generated in Operations</t>
  </si>
  <si>
    <t>Scope 3 - Fuel and Energy related activities</t>
  </si>
  <si>
    <t>Summary - data population</t>
  </si>
  <si>
    <t>Other</t>
  </si>
  <si>
    <t>S1 - Fuels (stationary)</t>
  </si>
  <si>
    <t>S1 - Fuels Guidance</t>
  </si>
  <si>
    <t>Example</t>
  </si>
  <si>
    <t>Columns - Facility</t>
  </si>
  <si>
    <t>Columns - Operations</t>
  </si>
  <si>
    <t>Columns - Fuel consumed</t>
  </si>
  <si>
    <t>Columns - Emission Factor Category</t>
  </si>
  <si>
    <t>Columns - Concat</t>
  </si>
  <si>
    <t>Columns - Amount</t>
  </si>
  <si>
    <t xml:space="preserve"> </t>
  </si>
  <si>
    <t>Columns - Units (dropdown)</t>
  </si>
  <si>
    <t>Columns - Input Unit</t>
  </si>
  <si>
    <t>Columns - Source Emission Factor Unit</t>
  </si>
  <si>
    <t>Columns - Conversion Factor</t>
  </si>
  <si>
    <t>Columns - Emission Factor</t>
  </si>
  <si>
    <t>Columns - Emission Factor Units</t>
  </si>
  <si>
    <t>Columns - GHG Emissions (tonnes CO2e)</t>
  </si>
  <si>
    <t>Columns - Emission Factor Source</t>
  </si>
  <si>
    <t>Columns - User Comment</t>
  </si>
  <si>
    <t>Scope 3 - Fuel and Energy Related Activities</t>
  </si>
  <si>
    <t>Concat</t>
  </si>
  <si>
    <t>Input Unit</t>
  </si>
  <si>
    <t>Source Emission Factor Unit</t>
  </si>
  <si>
    <t>Conversion Factor</t>
  </si>
  <si>
    <t>Buildings - Tórshavn</t>
  </si>
  <si>
    <t>Incinerator gas/diesel oil use</t>
  </si>
  <si>
    <t>Gas/diesel oil</t>
  </si>
  <si>
    <t>Default</t>
  </si>
  <si>
    <t>Litre</t>
  </si>
  <si>
    <t>Plant - Tórshavn</t>
  </si>
  <si>
    <t>Plant heating</t>
  </si>
  <si>
    <t>Heavy fuel oil</t>
  </si>
  <si>
    <t>S1 - Mobile Combustion</t>
  </si>
  <si>
    <t>S1 - Mobile Guidance</t>
  </si>
  <si>
    <t>Columns - Category</t>
  </si>
  <si>
    <t>Storage - Klaksvik</t>
  </si>
  <si>
    <t>Forklifts</t>
  </si>
  <si>
    <t>Light duty vehicles</t>
  </si>
  <si>
    <t>Diesel</t>
  </si>
  <si>
    <t>kWh</t>
  </si>
  <si>
    <t>Metals Transport</t>
  </si>
  <si>
    <t>Heavy duty vehicles</t>
  </si>
  <si>
    <t>Gasoline</t>
  </si>
  <si>
    <t>Organisation</t>
  </si>
  <si>
    <t>Custom Emission Factors</t>
  </si>
  <si>
    <t>Facility</t>
  </si>
  <si>
    <t>Operations</t>
  </si>
  <si>
    <t>Fuel consumed</t>
  </si>
  <si>
    <t>Amount</t>
  </si>
  <si>
    <t>Units</t>
  </si>
  <si>
    <t>Emission Factor</t>
  </si>
  <si>
    <t>Emission Factor Units</t>
  </si>
  <si>
    <r>
      <t>GHG Emissions (tonnes CO</t>
    </r>
    <r>
      <rPr>
        <b/>
        <vertAlign val="subscript"/>
        <sz val="11"/>
        <color theme="1"/>
        <rFont val="Arial"/>
        <family val="2"/>
      </rPr>
      <t>2</t>
    </r>
    <r>
      <rPr>
        <b/>
        <sz val="11"/>
        <color theme="1"/>
        <rFont val="Arial"/>
        <family val="2"/>
      </rPr>
      <t>e)</t>
    </r>
  </si>
  <si>
    <t>Emission Factor Source</t>
  </si>
  <si>
    <t>User Comment</t>
  </si>
  <si>
    <t>TOTAL</t>
  </si>
  <si>
    <t>S1 - Refrigerants Guidance</t>
  </si>
  <si>
    <t>Columns - Refrigerant Type</t>
  </si>
  <si>
    <t>Columns - GWP</t>
  </si>
  <si>
    <t>Refrigerant top-up - Cold store</t>
  </si>
  <si>
    <t>HFC-134a (R-134a)</t>
  </si>
  <si>
    <t>kg</t>
  </si>
  <si>
    <t>HFC-143 (R-143)</t>
  </si>
  <si>
    <t>S2 - Purchased Electricity description</t>
  </si>
  <si>
    <t>Electricity Generated Source</t>
  </si>
  <si>
    <t>Emissions Source</t>
  </si>
  <si>
    <t>Electricity Generated</t>
  </si>
  <si>
    <t>Meginøki</t>
  </si>
  <si>
    <t>Offices - Tórshavn</t>
  </si>
  <si>
    <t>Default (Faroes Weighted Average)</t>
  </si>
  <si>
    <t>MJ</t>
  </si>
  <si>
    <t>Source</t>
  </si>
  <si>
    <t>S2 - District Heating description</t>
  </si>
  <si>
    <t>District Heating Source</t>
  </si>
  <si>
    <t>Heating</t>
  </si>
  <si>
    <t>District Heating</t>
  </si>
  <si>
    <t>S3 - Upstream Transport Guidance</t>
  </si>
  <si>
    <t>Columns - Raw Data Type</t>
  </si>
  <si>
    <t>Columns - Transport Type</t>
  </si>
  <si>
    <t>Columns - tonne.km</t>
  </si>
  <si>
    <t>Transport of Material Goods</t>
  </si>
  <si>
    <t>Fuel Use</t>
  </si>
  <si>
    <t>Sea Navigation</t>
  </si>
  <si>
    <t>Marine Gas Oil</t>
  </si>
  <si>
    <t>Distance</t>
  </si>
  <si>
    <t>Diesel - All rigids - Average Laden</t>
  </si>
  <si>
    <t>tonne.km</t>
  </si>
  <si>
    <t>Columns - Emissions Source</t>
  </si>
  <si>
    <t>S3 - Downstream Transportation and Distribution Guidance</t>
  </si>
  <si>
    <t>Fleet - Tórshavn</t>
  </si>
  <si>
    <t>Logistics to Denmark</t>
  </si>
  <si>
    <t>Metals transport to customer</t>
  </si>
  <si>
    <t>Sea Tanker</t>
  </si>
  <si>
    <t>Crude tanker - Average</t>
  </si>
  <si>
    <t>S3 - Business Travel Guidance</t>
  </si>
  <si>
    <t>All - All</t>
  </si>
  <si>
    <t>Travel to client site</t>
  </si>
  <si>
    <t>Taxi</t>
  </si>
  <si>
    <t>Regular taxi</t>
  </si>
  <si>
    <t>km</t>
  </si>
  <si>
    <t>Travel to Denmark for conference</t>
  </si>
  <si>
    <t>Air Travel</t>
  </si>
  <si>
    <t>Long-haul - to/from UK - Business class - with RF</t>
  </si>
  <si>
    <t>passenger.km</t>
  </si>
  <si>
    <t>Transport Type</t>
  </si>
  <si>
    <t>S3 - Employee Commuting Guidance</t>
  </si>
  <si>
    <t>Annual Transport from Home to Site</t>
  </si>
  <si>
    <t>Passenger cars</t>
  </si>
  <si>
    <t>Based on headcount and average transport modes to site over the year.</t>
  </si>
  <si>
    <t>Office - Tórshavn</t>
  </si>
  <si>
    <t>S3 - Waste Generated in Operations Guidance</t>
  </si>
  <si>
    <t>Columns - Destination</t>
  </si>
  <si>
    <t>Columns - Waste Category</t>
  </si>
  <si>
    <t>Plant cardboard recycling</t>
  </si>
  <si>
    <t>Paper and board: mixed</t>
  </si>
  <si>
    <t>Recycled - Closed-loop</t>
  </si>
  <si>
    <t>tonnes</t>
  </si>
  <si>
    <t>General waste</t>
  </si>
  <si>
    <t>Commercial and industrial waste</t>
  </si>
  <si>
    <t>Combustion</t>
  </si>
  <si>
    <t>Emission Factors Sheet</t>
  </si>
  <si>
    <t>Scope 3 - Transport (Employee Commuting, Business Travel, Downstream Transportation and Distribution, Upstream Transportation and Distribution)</t>
  </si>
  <si>
    <t>CO2</t>
  </si>
  <si>
    <t>CH4</t>
  </si>
  <si>
    <t>N2O</t>
  </si>
  <si>
    <t>AR4</t>
  </si>
  <si>
    <t>AR5</t>
  </si>
  <si>
    <t>Scope &amp; Category</t>
  </si>
  <si>
    <t>Activity Data</t>
  </si>
  <si>
    <t xml:space="preserve">Category 2 </t>
  </si>
  <si>
    <t>To Use?</t>
  </si>
  <si>
    <t>Dropdown Category</t>
  </si>
  <si>
    <t>CO2 factor (kgCO2/unit)</t>
  </si>
  <si>
    <t>CH4 Factor (kgCH4/unit)</t>
  </si>
  <si>
    <t>N2O Factor (kgN2O/unit)</t>
  </si>
  <si>
    <t>CH4 CO2e Emissions Factor (kgCH4/unit)</t>
  </si>
  <si>
    <t>N2O CO2e Emissions Factor (kgN2O/unit)</t>
  </si>
  <si>
    <t>AR4 (kgCO2e)</t>
  </si>
  <si>
    <t>AR5 (kgCO2e)</t>
  </si>
  <si>
    <t>Description</t>
  </si>
  <si>
    <t>Source Data</t>
  </si>
  <si>
    <t>Stationary Combustion</t>
  </si>
  <si>
    <t>To be defined by User</t>
  </si>
  <si>
    <t>Yes</t>
  </si>
  <si>
    <t>GJ</t>
  </si>
  <si>
    <t>Faroe Islands Emission Factors - Umhvørvisstovan - Denmark National Inventory Report 2021</t>
  </si>
  <si>
    <t>Kerosene</t>
  </si>
  <si>
    <t>LPG</t>
  </si>
  <si>
    <t>Biogas</t>
  </si>
  <si>
    <t>Wood Pellets</t>
  </si>
  <si>
    <t>Propane</t>
  </si>
  <si>
    <t>Butane</t>
  </si>
  <si>
    <t>Waste Oils</t>
  </si>
  <si>
    <t>Wood logs</t>
  </si>
  <si>
    <t>Wood chips</t>
  </si>
  <si>
    <t>Public electricity and heat production</t>
  </si>
  <si>
    <t>Faroe Islands Emission Factors - Denmark National Inventory Report 2021</t>
  </si>
  <si>
    <t>Manufacturing industries and construction</t>
  </si>
  <si>
    <t>Commercial/Institutional</t>
  </si>
  <si>
    <t>Residential</t>
  </si>
  <si>
    <t>Agriculture</t>
  </si>
  <si>
    <t>Public power</t>
  </si>
  <si>
    <t>Combustion plants &gt;= 50 and &lt; 300 MW (boilers)</t>
  </si>
  <si>
    <t>Commercial and institutional plants (t)</t>
  </si>
  <si>
    <t>Commercial and institutional plants</t>
  </si>
  <si>
    <t>Residential plants</t>
  </si>
  <si>
    <t>Plants in agriculture, forestry and aquacultu</t>
  </si>
  <si>
    <t>Plants in agriculture, forestry and aquaculture</t>
  </si>
  <si>
    <t>Non-specified (Industry)</t>
  </si>
  <si>
    <t>litres</t>
  </si>
  <si>
    <t>kWh (Gross CV)</t>
  </si>
  <si>
    <t>Mobile Combustion</t>
  </si>
  <si>
    <t>Navigation</t>
  </si>
  <si>
    <t>Residual oil</t>
  </si>
  <si>
    <t>Fisheries</t>
  </si>
  <si>
    <t>Fishing Ships</t>
  </si>
  <si>
    <t>Navigation  int.</t>
  </si>
  <si>
    <t>Sea Navigation - International</t>
  </si>
  <si>
    <t>Passenger cars</t>
  </si>
  <si>
    <t>Rural</t>
  </si>
  <si>
    <t>Bio ethanol</t>
  </si>
  <si>
    <t>Biodiesel</t>
  </si>
  <si>
    <t>Motorcycles</t>
  </si>
  <si>
    <t>Forestry</t>
  </si>
  <si>
    <t>Industry</t>
  </si>
  <si>
    <t>Household and gardening</t>
  </si>
  <si>
    <t>Commercial and institutional</t>
  </si>
  <si>
    <t>Air traffic, Dom. &lt; 3000 ft.</t>
  </si>
  <si>
    <t>AvGas</t>
  </si>
  <si>
    <t>Jet Fuel</t>
  </si>
  <si>
    <t>Air traffic, Int. &lt; 3000 ft.</t>
  </si>
  <si>
    <t>Air traffic, Dom. &gt; 3000 ft.</t>
  </si>
  <si>
    <t>Air traffic, Int. &gt; 3000 ft.</t>
  </si>
  <si>
    <t>HVO</t>
  </si>
  <si>
    <t>Gross CV - adjusted for lookup</t>
  </si>
  <si>
    <t>Bus</t>
  </si>
  <si>
    <t>GWP - AR4</t>
  </si>
  <si>
    <t>GWP - AR5</t>
  </si>
  <si>
    <t>Source - AR4</t>
  </si>
  <si>
    <t>Source - AR5</t>
  </si>
  <si>
    <t>Refrigerant Use</t>
  </si>
  <si>
    <t>Refrigerant Use (Kyoto Protocol - Standard)</t>
  </si>
  <si>
    <t>Carbon dioxide</t>
  </si>
  <si>
    <t>N/A</t>
  </si>
  <si>
    <t>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t>
  </si>
  <si>
    <t>Appendix A: Global Warming Potentials -https://www.theclimateregistry.org/wp-content/uploads/2019/02/Draft-PC-Appendix_A_Global-Warming-Potentials.pdf, Climate Change 2007: Working Group I: The Physical Science Basis - https://archive.ipcc.ch/publications_and_data/ar4/wg1/en/ch2s2-10-2.html, Anthropogenic and Natural Radiative Forcing -  https://www.ipcc.ch/site/assets/uploads/2018/02/WG1AR5_Chapter08_FINAL.pdf"</t>
  </si>
  <si>
    <t>Methane</t>
  </si>
  <si>
    <t>Nitrous Oxide</t>
  </si>
  <si>
    <t>HFC-23 (R-23)</t>
  </si>
  <si>
    <t>Appendix A: Global Warming Potentials -https://www.theclimateregistry.org/wp-content/uploads/2019/02/Draft-PC-Appendix_A_Global-Warming-Potentials.pdf, Climate Change 2007: Working Group I: The Physical Science Basis - https://archive.ipcc.ch/publications_and_data/ar4/wg1/en/ch2s2-10-2.html</t>
  </si>
  <si>
    <t>HFC-32 (R-32)</t>
  </si>
  <si>
    <t>HFC-41 (R-41)</t>
  </si>
  <si>
    <t>HFC-125 (R-125)</t>
  </si>
  <si>
    <t>HFC-134 (R-134)</t>
  </si>
  <si>
    <t>HFC-143a (R-143a)</t>
  </si>
  <si>
    <t>HFC-152 (R-152)</t>
  </si>
  <si>
    <t>HFC-152a (R-152a)</t>
  </si>
  <si>
    <t>R404A</t>
  </si>
  <si>
    <t>R407A</t>
  </si>
  <si>
    <t>R407C</t>
  </si>
  <si>
    <t>R407F</t>
  </si>
  <si>
    <t>R408A</t>
  </si>
  <si>
    <t>R410A</t>
  </si>
  <si>
    <t>R507A</t>
  </si>
  <si>
    <t>R508B</t>
  </si>
  <si>
    <t>R403A</t>
  </si>
  <si>
    <t>Appendix A: Global Warming Potentials - https://www.theclimateregistry.org/wp-content/uploads/2019/02/Draft-PC-Appendix_A_Global-Warming-Potentials.pdf</t>
  </si>
  <si>
    <t>R-402A</t>
  </si>
  <si>
    <t>R-403A</t>
  </si>
  <si>
    <t>Refrigerant Use (Kyoto Protcol - Blends)</t>
  </si>
  <si>
    <t>R-404A</t>
  </si>
  <si>
    <t>R-407A</t>
  </si>
  <si>
    <t>R-407C</t>
  </si>
  <si>
    <t>R-407F</t>
  </si>
  <si>
    <t>R-408A</t>
  </si>
  <si>
    <t>R-410A</t>
  </si>
  <si>
    <t>R-417A</t>
  </si>
  <si>
    <t>R-422D</t>
  </si>
  <si>
    <t>R-507A</t>
  </si>
  <si>
    <t>Category (if applicable)</t>
  </si>
  <si>
    <t>Purchased Electricity</t>
  </si>
  <si>
    <t>Electricity Use</t>
  </si>
  <si>
    <t>SUÐUROY</t>
  </si>
  <si>
    <t>Smaller Islands</t>
  </si>
  <si>
    <t>Faroes Weighted Average</t>
  </si>
  <si>
    <t>Fuel/Distance</t>
  </si>
  <si>
    <t>Upstream/Downstream Transportation and Distribution</t>
  </si>
  <si>
    <t>Freight Flights</t>
  </si>
  <si>
    <t>Domestic, to/from UK - with RF</t>
  </si>
  <si>
    <t>Short-haul, to/from UK - with RF</t>
  </si>
  <si>
    <t>Long-haul, to/from UK - with RF</t>
  </si>
  <si>
    <t>International, to/from non-UK - with RF</t>
  </si>
  <si>
    <t>HGV</t>
  </si>
  <si>
    <t>Diesel - Rigid (&gt;3.5 - 7.5 tonnes) - Average Laden</t>
  </si>
  <si>
    <t>miles</t>
  </si>
  <si>
    <t>Diesel - Rigid (&gt;7.5 tonnes-17 tonnes) - Average Laden</t>
  </si>
  <si>
    <t>Diesel - Rigid (&gt;17 tonnes) - Average Laden</t>
  </si>
  <si>
    <t>Diesel - Articulated (&gt;3.5 - 33t) - Average Laden</t>
  </si>
  <si>
    <t>Diesel - Articulated (&gt;33t) - Average Laden</t>
  </si>
  <si>
    <t>Diesel - All artics - Average Laden</t>
  </si>
  <si>
    <t>Diesel - All HGVs - Average Laden</t>
  </si>
  <si>
    <t>HGV (Refrigerated)</t>
  </si>
  <si>
    <t>Heavy duty vehicles (refrigerated)</t>
  </si>
  <si>
    <t>Products tanker - Average</t>
  </si>
  <si>
    <t>Chemical tanker - Average</t>
  </si>
  <si>
    <t>LNG tanker - Average</t>
  </si>
  <si>
    <t>LPG tanker - Average</t>
  </si>
  <si>
    <t>Cargo ship</t>
  </si>
  <si>
    <t>Cargo Ship</t>
  </si>
  <si>
    <t>Bulk carrier - Average</t>
  </si>
  <si>
    <t>General cargo - Average</t>
  </si>
  <si>
    <t>Container ship - Average</t>
  </si>
  <si>
    <t>Vehicle transport - Average</t>
  </si>
  <si>
    <t>RoRo-Ferry - Average</t>
  </si>
  <si>
    <t>Large RoPax ferry - Average</t>
  </si>
  <si>
    <t>Refrigerated cargo - All dwt</t>
  </si>
  <si>
    <t>Van</t>
  </si>
  <si>
    <t>Average (up to 3.5. tonnes) - Diesel</t>
  </si>
  <si>
    <t>Average (up to 3.5. tonnes) - Petrol</t>
  </si>
  <si>
    <t>Average (up to 3.5. tonnes) - CNG</t>
  </si>
  <si>
    <t>Average (up to 3.5. tonnes) - LPG</t>
  </si>
  <si>
    <t>Average (up to 3.5. tonnes) - Unknown</t>
  </si>
  <si>
    <t>Average (up to 3.5. tonnes) - Battery Electric Vehicle</t>
  </si>
  <si>
    <t>Business Travel</t>
  </si>
  <si>
    <t>Air Travel - Domestic</t>
  </si>
  <si>
    <t>Domestic, to/from UK - Average passenger - with RF</t>
  </si>
  <si>
    <t>Air Travel - Short-haul</t>
  </si>
  <si>
    <t>Short-haul - to/from UK - Average passenger - with RF</t>
  </si>
  <si>
    <t>Short-haul - to/from UK - Economy class - with RF</t>
  </si>
  <si>
    <t>Short-haul - to/from UK - Business class - with RF</t>
  </si>
  <si>
    <t>Air Travel - Long-haul</t>
  </si>
  <si>
    <t>Long-haul - to/from UK - Average passenger - with RF</t>
  </si>
  <si>
    <t>Long-haul - to/from UK - Economy class - with RF</t>
  </si>
  <si>
    <t>Long-haul - to/from UK - Premium economy class - with RF</t>
  </si>
  <si>
    <t>Long-haul - to/from UK - First class - with RF</t>
  </si>
  <si>
    <t>Air Travel - International</t>
  </si>
  <si>
    <t>International, to/from non-UK - Average passenger - with RF</t>
  </si>
  <si>
    <t>International, to/from non-UK - Economy class - with RF</t>
  </si>
  <si>
    <t>International, to/from non-UK - Premium economy class - with RF</t>
  </si>
  <si>
    <t>International, to/from non-UK - Business class - with RF</t>
  </si>
  <si>
    <t>International, to/from non-UK - First class - with RF</t>
  </si>
  <si>
    <t>Ferry</t>
  </si>
  <si>
    <t>Foot passenger</t>
  </si>
  <si>
    <t>Car passenger</t>
  </si>
  <si>
    <t>Average (all passenger)</t>
  </si>
  <si>
    <t>Car (average)</t>
  </si>
  <si>
    <t>Petrol</t>
  </si>
  <si>
    <t>Hybrid</t>
  </si>
  <si>
    <t>CNG</t>
  </si>
  <si>
    <t>Unknown</t>
  </si>
  <si>
    <t>Plug-in Hybrid Electric Vehicle</t>
  </si>
  <si>
    <t>Battery Electric Vehicle</t>
  </si>
  <si>
    <t>Motorbike</t>
  </si>
  <si>
    <t>Average motorbike</t>
  </si>
  <si>
    <t>Average local bus</t>
  </si>
  <si>
    <t>Coach</t>
  </si>
  <si>
    <t>Employee Commuting</t>
  </si>
  <si>
    <t>3 - Employee Commuting</t>
  </si>
  <si>
    <t>Waste Generated in Operations</t>
  </si>
  <si>
    <t>Organic: food and drink waste</t>
  </si>
  <si>
    <t>Landfill</t>
  </si>
  <si>
    <t>Organic: mixed food and garden waste</t>
  </si>
  <si>
    <t>Composting</t>
  </si>
  <si>
    <t>Organic: garden waste</t>
  </si>
  <si>
    <t>Household residual waste</t>
  </si>
  <si>
    <t>Plastics: average plastics</t>
  </si>
  <si>
    <t>Metal: scrap metal</t>
  </si>
  <si>
    <t>WEEE - Mixed</t>
  </si>
  <si>
    <t>Recycled - Open-loop</t>
  </si>
  <si>
    <t>Aggregates</t>
  </si>
  <si>
    <t>Asbestos</t>
  </si>
  <si>
    <t>Bricks</t>
  </si>
  <si>
    <t>Insulation</t>
  </si>
  <si>
    <t>Metals</t>
  </si>
  <si>
    <t>Soils</t>
  </si>
  <si>
    <t>Mineral oil</t>
  </si>
  <si>
    <t>Plasterboard</t>
  </si>
  <si>
    <t>Tyres</t>
  </si>
  <si>
    <t>Wood</t>
  </si>
  <si>
    <t>Gas/diesel oilDefault</t>
  </si>
  <si>
    <t>Gas Oil - Gross CV</t>
  </si>
  <si>
    <t>Heavy fuel oilDefault</t>
  </si>
  <si>
    <t>Fuel Oil - Gross CV</t>
  </si>
  <si>
    <t>KeroseneDefault</t>
  </si>
  <si>
    <t>Kerosene - Gross CV</t>
  </si>
  <si>
    <t>LPGDefault</t>
  </si>
  <si>
    <t>LPG - Gross CV</t>
  </si>
  <si>
    <t>BiogasDefault</t>
  </si>
  <si>
    <t>Biogas - kWh</t>
  </si>
  <si>
    <t>Wood PelletsDefault</t>
  </si>
  <si>
    <t>PropaneDefault</t>
  </si>
  <si>
    <t>Propane - Gross CV</t>
  </si>
  <si>
    <t>ButaneDefault</t>
  </si>
  <si>
    <t>Butane - Gross CV</t>
  </si>
  <si>
    <t>Waste OilsDefault</t>
  </si>
  <si>
    <t>Waste Oils - Gross CV</t>
  </si>
  <si>
    <t>Wood logsDefault</t>
  </si>
  <si>
    <t>Wood chipsDefault</t>
  </si>
  <si>
    <t>Gas/diesel oilPublic electricity and heat production</t>
  </si>
  <si>
    <t>Heavy fuel oilPublic electricity and heat production</t>
  </si>
  <si>
    <t>Gas/diesel oilManufacturing industries and construction</t>
  </si>
  <si>
    <t>Heavy fuel oilManufacturing industries and construction</t>
  </si>
  <si>
    <t>KeroseneManufacturing industries and construction</t>
  </si>
  <si>
    <t>Gas/diesel oilCommercial/Institutional</t>
  </si>
  <si>
    <t>KeroseneCommercial/Institutional</t>
  </si>
  <si>
    <t>Gas/diesel oilResidential</t>
  </si>
  <si>
    <t>KeroseneResidential</t>
  </si>
  <si>
    <t>Gas/diesel oilAgriculture</t>
  </si>
  <si>
    <t>KeroseneAgriculture</t>
  </si>
  <si>
    <t>LPGPublic electricity and heat production</t>
  </si>
  <si>
    <t>LPGCommercial/Institutional</t>
  </si>
  <si>
    <t>LPGResidential</t>
  </si>
  <si>
    <t>LPGAgriculture</t>
  </si>
  <si>
    <t>LPGManufacturing industries and construction</t>
  </si>
  <si>
    <t>BiogasPublic electricity and heat production</t>
  </si>
  <si>
    <t>BiogasCommercial/Institutional</t>
  </si>
  <si>
    <t>BiogasResidential</t>
  </si>
  <si>
    <t>BiogasAgriculture</t>
  </si>
  <si>
    <t>BiogasManufacturing industries and construction</t>
  </si>
  <si>
    <t>Wood PelletsPublic electricity and heat production</t>
  </si>
  <si>
    <t>Wood PelletsCommercial/Institutional</t>
  </si>
  <si>
    <t>Wood PelletsResidential</t>
  </si>
  <si>
    <t>Wood PelletsAgriculture</t>
  </si>
  <si>
    <t>Wood PelletsManufacturing industries and construction</t>
  </si>
  <si>
    <t>DieselSea Navigation</t>
  </si>
  <si>
    <t>Diesel (100% mineral diesel) - Gross CV</t>
  </si>
  <si>
    <t>Residual oilSea Navigation</t>
  </si>
  <si>
    <t>Residual Oil - Gross CV</t>
  </si>
  <si>
    <t>DieselFishing Ships</t>
  </si>
  <si>
    <t>DieselSea Navigation - International</t>
  </si>
  <si>
    <t>Residual oilSea Navigation - International</t>
  </si>
  <si>
    <t>Bio ethanolPassenger cars</t>
  </si>
  <si>
    <t>Bioethanol - GJ</t>
  </si>
  <si>
    <t>BiodieselPassenger cars</t>
  </si>
  <si>
    <t>Biodiesel ME - GJ</t>
  </si>
  <si>
    <t>DieselPassenger cars</t>
  </si>
  <si>
    <t>GasolinePassenger cars</t>
  </si>
  <si>
    <t>Petrol (100% mineral petrol) - Gross CV</t>
  </si>
  <si>
    <t>Bio ethanolLight duty vehicles</t>
  </si>
  <si>
    <t>BiodieselLight duty vehicles</t>
  </si>
  <si>
    <t>DieselLight duty vehicles</t>
  </si>
  <si>
    <t>GasolineLight duty vehicles</t>
  </si>
  <si>
    <t>Bio ethanolHeavy duty vehicles</t>
  </si>
  <si>
    <t>BiodieselHeavy duty vehicles</t>
  </si>
  <si>
    <t>DieselHeavy duty vehicles</t>
  </si>
  <si>
    <t>GasolineHeavy duty vehicles</t>
  </si>
  <si>
    <t>Bio ethanolMotorcycles</t>
  </si>
  <si>
    <t>GasolineMotorcycles</t>
  </si>
  <si>
    <t>Bio ethanolAgriculture</t>
  </si>
  <si>
    <t>DieselAgriculture</t>
  </si>
  <si>
    <t>GasolineAgriculture</t>
  </si>
  <si>
    <t>Bio ethanolForestry</t>
  </si>
  <si>
    <t>DieselForestry</t>
  </si>
  <si>
    <t>GasolineForestry</t>
  </si>
  <si>
    <t>Bio ethanolManufacturing industries and construction</t>
  </si>
  <si>
    <t>DieselManufacturing industries and construction</t>
  </si>
  <si>
    <t>GasolineManufacturing industries and construction</t>
  </si>
  <si>
    <t>Bio ethanolResidential</t>
  </si>
  <si>
    <t>GasolineResidential</t>
  </si>
  <si>
    <t>Bio ethanolCommercial/Institutional</t>
  </si>
  <si>
    <t>DieselCommercial/Institutional</t>
  </si>
  <si>
    <t>GasolineCommercial/Institutional</t>
  </si>
  <si>
    <t>Aviation Gas - Gross CV</t>
  </si>
  <si>
    <t>Jet FuelAir traffic, Dom. &lt; 3000 ft.</t>
  </si>
  <si>
    <t>Aviation Turbine Fuel - Gross CV</t>
  </si>
  <si>
    <t>Jet FuelAir traffic, Int. &lt; 3000 ft.</t>
  </si>
  <si>
    <t>Jet FuelAir traffic, Dom. &gt; 3000 ft.</t>
  </si>
  <si>
    <t>Jet FuelAir traffic, Int. &gt; 3000 ft.</t>
  </si>
  <si>
    <t>HVOAir traffic, Dom. &gt; 3000 ft.</t>
  </si>
  <si>
    <t>HVO - GJ</t>
  </si>
  <si>
    <t>HVOAir traffic, Int. &gt; 3000 ft.</t>
  </si>
  <si>
    <t>Marine Gas OilSea Navigation</t>
  </si>
  <si>
    <t>Marine Gas Oil - Gross CV</t>
  </si>
  <si>
    <t>Marine Gas OilSea Navigation - International</t>
  </si>
  <si>
    <t>Marine Gas OilFishing Ships</t>
  </si>
  <si>
    <t>DieselBus</t>
  </si>
  <si>
    <t>HVOAir Travel</t>
  </si>
  <si>
    <t>Jet FuelAir Travel</t>
  </si>
  <si>
    <t>Domestic, to/from UK - with RFAir Travel</t>
  </si>
  <si>
    <t>Short-haul, to/from UK - with RFAir Travel</t>
  </si>
  <si>
    <t>Long-haul, to/from UK - with RFAir Travel</t>
  </si>
  <si>
    <t>International, to/from non-UK - with RFAir Travel</t>
  </si>
  <si>
    <t>Diesel - Rigid (&gt;3.5 - 7.5 tonnes) - Average LadenHeavy duty vehicles</t>
  </si>
  <si>
    <t>Diesel - Rigid (&gt;7.5 tonnes-17 tonnes) - Average LadenHeavy duty vehicles</t>
  </si>
  <si>
    <t>Diesel - Rigid (&gt;17 tonnes) - Average LadenHeavy duty vehicles</t>
  </si>
  <si>
    <t>Diesel - All rigids - Average LadenHeavy duty vehicles</t>
  </si>
  <si>
    <t>Diesel - Articulated (&gt;3.5 - 33t) - Average LadenHeavy duty vehicles</t>
  </si>
  <si>
    <t>Diesel - Articulated (&gt;33t) - Average LadenHeavy duty vehicles</t>
  </si>
  <si>
    <t>Diesel - All artics - Average LadenHeavy duty vehicles</t>
  </si>
  <si>
    <t>Diesel - All HGVs - Average LadenHeavy duty vehicles</t>
  </si>
  <si>
    <t>Diesel - Rigid (&gt;3.5 - 7.5 tonnes) - Average LadenHeavy duty vehicles (refrigerated)</t>
  </si>
  <si>
    <t>Diesel - Rigid (&gt;7.5 tonnes-17 tonnes) - Average LadenHeavy duty vehicles (refrigerated)</t>
  </si>
  <si>
    <t>Diesel - Rigid (&gt;17 tonnes) - Average LadenHeavy duty vehicles (refrigerated)</t>
  </si>
  <si>
    <t>Diesel - All rigids - Average LadenHeavy duty vehicles (refrigerated)</t>
  </si>
  <si>
    <t>Diesel - Articulated (&gt;3.5 - 33t) - Average LadenHeavy duty vehicles (refrigerated)</t>
  </si>
  <si>
    <t>Diesel - Articulated (&gt;33t) - Average LadenHeavy duty vehicles (refrigerated)</t>
  </si>
  <si>
    <t>Diesel - All artics - Average LadenHeavy duty vehicles (refrigerated)</t>
  </si>
  <si>
    <t>Diesel - All HGVs - Average LadenHeavy duty vehicles (refrigerated)</t>
  </si>
  <si>
    <t>Marine Gas OilSea Tanker</t>
  </si>
  <si>
    <t>Crude tanker - AverageSea Tanker</t>
  </si>
  <si>
    <t>Products tanker - AverageSea Tanker</t>
  </si>
  <si>
    <t>Chemical tanker - AverageSea Tanker</t>
  </si>
  <si>
    <t>LNG tanker - AverageSea Tanker</t>
  </si>
  <si>
    <t>LPG tanker - AverageSea Tanker</t>
  </si>
  <si>
    <t>Marine Gas OilCargo Ship</t>
  </si>
  <si>
    <t>Bulk carrier - AverageCargo Ship</t>
  </si>
  <si>
    <t>General cargo - AverageCargo Ship</t>
  </si>
  <si>
    <t>Container ship - AverageCargo Ship</t>
  </si>
  <si>
    <t>Vehicle transport - AverageCargo Ship</t>
  </si>
  <si>
    <t>RoRo-Ferry - AverageCargo Ship</t>
  </si>
  <si>
    <t>Large RoPax ferry - AverageCargo Ship</t>
  </si>
  <si>
    <t>Refrigerated cargo - All dwtCargo Ship</t>
  </si>
  <si>
    <t>Average (up to 3.5. tonnes) - DieselVan</t>
  </si>
  <si>
    <t>Average (up to 3.5. tonnes) - PetrolVan</t>
  </si>
  <si>
    <t>Average (up to 3.5. tonnes) - CNGVan</t>
  </si>
  <si>
    <t>Average (up to 3.5. tonnes) - LPGVan</t>
  </si>
  <si>
    <t>Average (up to 3.5. tonnes) - UnknownVan</t>
  </si>
  <si>
    <t>Average (up to 3.5. tonnes) - Battery Electric VehicleVan</t>
  </si>
  <si>
    <t>Domestic, to/from UK - Average passenger - with RFAir Travel</t>
  </si>
  <si>
    <t>Short-haul - to/from UK - Average passenger - with RFAir Travel</t>
  </si>
  <si>
    <t>Short-haul - to/from UK - Economy class - with RFAir Travel</t>
  </si>
  <si>
    <t>Short-haul - to/from UK - Business class - with RFAir Travel</t>
  </si>
  <si>
    <t>Long-haul - to/from UK - Average passenger - with RFAir Travel</t>
  </si>
  <si>
    <t>Long-haul - to/from UK - Economy class - with RFAir Travel</t>
  </si>
  <si>
    <t>Long-haul - to/from UK - Premium economy class - with RFAir Travel</t>
  </si>
  <si>
    <t>Long-haul - to/from UK - Business class - with RFAir Travel</t>
  </si>
  <si>
    <t>Long-haul - to/from UK - First class - with RFAir Travel</t>
  </si>
  <si>
    <t>International, to/from non-UK - Average passenger - with RFAir Travel</t>
  </si>
  <si>
    <t>International, to/from non-UK - Economy class - with RFAir Travel</t>
  </si>
  <si>
    <t>International, to/from non-UK - Premium economy class - with RFAir Travel</t>
  </si>
  <si>
    <t>International, to/from non-UK - Business class - with RFAir Travel</t>
  </si>
  <si>
    <t>International, to/from non-UK - First class - with RFAir Travel</t>
  </si>
  <si>
    <t>Foot passengerFerry</t>
  </si>
  <si>
    <t>Car passengerFerry</t>
  </si>
  <si>
    <t>Average (all passenger)Ferry</t>
  </si>
  <si>
    <t>DieselPassenger cars</t>
  </si>
  <si>
    <t>PetrolPassenger cars</t>
  </si>
  <si>
    <t>HybridPassenger cars</t>
  </si>
  <si>
    <t>CNGPassenger cars</t>
  </si>
  <si>
    <t>LPGPassenger cars</t>
  </si>
  <si>
    <t>UnknownPassenger cars</t>
  </si>
  <si>
    <t>Plug-in Hybrid Electric VehiclePassenger cars</t>
  </si>
  <si>
    <t>Battery Electric VehiclePassenger cars</t>
  </si>
  <si>
    <t>Average motorbikeMotorcycles</t>
  </si>
  <si>
    <t>Regular taxiTaxi</t>
  </si>
  <si>
    <t>Average local busBus</t>
  </si>
  <si>
    <t>CoachBus</t>
  </si>
  <si>
    <t>Faroes Electricity 2020 - T&amp;D and WTT</t>
  </si>
  <si>
    <t>Umhvørvisstovan - 2021 - T&amp;D and WTT</t>
  </si>
  <si>
    <t>Electricity Use - Transmission and Distribution</t>
  </si>
  <si>
    <t>Electricity Use - WTT</t>
  </si>
  <si>
    <t>Conversion Factors</t>
  </si>
  <si>
    <t>Energy</t>
  </si>
  <si>
    <t>MWh</t>
  </si>
  <si>
    <t>Btu</t>
  </si>
  <si>
    <t>mmBtu</t>
  </si>
  <si>
    <t>Therm</t>
  </si>
  <si>
    <t>Refrigerants/Waste - Weights</t>
  </si>
  <si>
    <t>Source to Litres Conversion</t>
  </si>
  <si>
    <t>Fuel</t>
  </si>
  <si>
    <t>Source Unit</t>
  </si>
  <si>
    <t>Conversion Unit</t>
  </si>
  <si>
    <t>Source Unit/Conversion Unit</t>
  </si>
  <si>
    <t>Denmark Energy Statistics</t>
  </si>
  <si>
    <t>Unavailable in DEFRA</t>
  </si>
  <si>
    <t>Gas Oil</t>
  </si>
  <si>
    <t>Fuel Oil</t>
  </si>
  <si>
    <t>Burning Oil</t>
  </si>
  <si>
    <t>Wood Chips</t>
  </si>
  <si>
    <t>Unable to convert - please select another unit</t>
  </si>
  <si>
    <t>Wood Logs</t>
  </si>
  <si>
    <t>Diesel (100% mineral diesel)</t>
  </si>
  <si>
    <t>Processed fuel oils - residual oil</t>
  </si>
  <si>
    <t>Aviation spirit</t>
  </si>
  <si>
    <t>Bioethanol</t>
  </si>
  <si>
    <t>Biodiesel ME</t>
  </si>
  <si>
    <t>Petrol (100% mineral petrol)</t>
  </si>
  <si>
    <t>Aviation Turbine Fuel</t>
  </si>
  <si>
    <t>Biodiesel HVO</t>
  </si>
  <si>
    <t>Source to Tonnes Conversion</t>
  </si>
  <si>
    <t>Defra GHG Category</t>
  </si>
  <si>
    <t>Tonne</t>
  </si>
  <si>
    <t>Wood pellets</t>
  </si>
  <si>
    <t>Aviation Spirit</t>
  </si>
  <si>
    <t>WTT - Source to Litres Conversion</t>
  </si>
  <si>
    <t>No 'litres' available in DEFRA - assumed same as Gas Oil</t>
  </si>
  <si>
    <t>Gas oil</t>
  </si>
  <si>
    <t>Fuel oil</t>
  </si>
  <si>
    <t>Aviation turbine fuel</t>
  </si>
  <si>
    <t>Refrigerants</t>
  </si>
  <si>
    <t>Electricity</t>
  </si>
  <si>
    <t>Transport</t>
  </si>
  <si>
    <t>Upstream/Downstream</t>
  </si>
  <si>
    <t>Business Travel/Employee Commuting</t>
  </si>
  <si>
    <t>Waste Generated</t>
  </si>
  <si>
    <t>Year Type</t>
  </si>
  <si>
    <t>Example List</t>
  </si>
  <si>
    <t>S1 - Industry Sector</t>
  </si>
  <si>
    <t>S1 - Combustion - Units</t>
  </si>
  <si>
    <t>S1 - Stationary Combustion - Emissions Source</t>
  </si>
  <si>
    <t>S1 Stationary Combustion - Named Range</t>
  </si>
  <si>
    <t>S1 - Stationary Combustion - Dropdown Category</t>
  </si>
  <si>
    <t xml:space="preserve">S1 - Stationary Combustion - Emissions Source </t>
  </si>
  <si>
    <t>S1 - Mobile Combustion - Units</t>
  </si>
  <si>
    <t>S1 - Mobile Combustion - Dropdown Category</t>
  </si>
  <si>
    <t>S1 Mobile Combustion - Named Range</t>
  </si>
  <si>
    <t>S1 - Mobile Combustion - Emissions Source</t>
  </si>
  <si>
    <t xml:space="preserve">S1 - Mobile Combustion - Emissions Source </t>
  </si>
  <si>
    <t>S1 Refigerants - Units</t>
  </si>
  <si>
    <t>S2 - Electricity Generated Source</t>
  </si>
  <si>
    <t>S2 - District Heating Source</t>
  </si>
  <si>
    <t>S3 Transport - Category</t>
  </si>
  <si>
    <t>S3 - Transport - Calculation Method</t>
  </si>
  <si>
    <t>S3 - Upstream Downstream Transport - Fuel Use - Units</t>
  </si>
  <si>
    <t>S3 - Upstream Downstream Transport Type - Fuel Use</t>
  </si>
  <si>
    <t>S3 - Upstream Downstream Transport - Fuel Use - Named Range</t>
  </si>
  <si>
    <t>S3 - Upstream Downstream Emissions Source - Fuel Use</t>
  </si>
  <si>
    <t>S3 - Upstream Downstream Transport Type - Fuel Use Dropdown</t>
  </si>
  <si>
    <t>S3 - Upstream Downstream Transport - Distance - Units</t>
  </si>
  <si>
    <t>S3 - Upstream Downstream Transport Type - Distance</t>
  </si>
  <si>
    <t>S3 - Upstream Downstream Transport - Distance - Named Range</t>
  </si>
  <si>
    <t>S3 - Upstream Downstream Emissions Source - Distance</t>
  </si>
  <si>
    <t>S3 - Upstream Downstream Emissions Source - Distance - Units</t>
  </si>
  <si>
    <t>S3 - Upstream Downstream Transport Type - Distance - Dropdown</t>
  </si>
  <si>
    <t>S3 - Business Travel - Transport Type</t>
  </si>
  <si>
    <t>S3 - Business Travel - Named Range</t>
  </si>
  <si>
    <t>S3 - Business Travel - Emission Sources</t>
  </si>
  <si>
    <t>S3 - Business Travel - Transport Type Dropdown</t>
  </si>
  <si>
    <t>S3 - Business Travel - Emission Sources - Named Ranges - Units</t>
  </si>
  <si>
    <t>S3 - Business Travel - Emission Sources - Units</t>
  </si>
  <si>
    <t>S3 - Waste Generated Categories</t>
  </si>
  <si>
    <t>S3 Waste - Named Range</t>
  </si>
  <si>
    <t>S3 - Waste Destinations</t>
  </si>
  <si>
    <t>S3 - Waste Generated - Emissions Source (Waste Destination)</t>
  </si>
  <si>
    <t>S1_Biogas</t>
  </si>
  <si>
    <t>S1_AirTrafficDomLessThan3000ft</t>
  </si>
  <si>
    <t>Upstream Transportation and Distribution</t>
  </si>
  <si>
    <t>S3_UDTFuel_Agriculture</t>
  </si>
  <si>
    <t>S3_UDTDistance_AirTravelDomestic</t>
  </si>
  <si>
    <t>S3_UDTDistance_AirTravel_Units</t>
  </si>
  <si>
    <t>S3_BT_AirTravel</t>
  </si>
  <si>
    <t>S3_Waste_CommercialIndustrial</t>
  </si>
  <si>
    <t>Føroyskt</t>
  </si>
  <si>
    <t>Financial</t>
  </si>
  <si>
    <t>Downstream Transportation and Distribution</t>
  </si>
  <si>
    <t>S3_UDTDistance_HeavyDutyVehicles_Units</t>
  </si>
  <si>
    <t>S1_AirTrafficDomMoreThan3000ft</t>
  </si>
  <si>
    <t>S3_UDTFuel_AirTravel</t>
  </si>
  <si>
    <t>S3_Waste_OrganicFD</t>
  </si>
  <si>
    <t>S1_AirTrafficIntLessThan3000ft</t>
  </si>
  <si>
    <t>S3_UDTDistance_HeavyDutyVehicles</t>
  </si>
  <si>
    <t>S3_UDTDistance_HeavyDutyVehiclesRefrigerated_Units</t>
  </si>
  <si>
    <t>S1_AirTrafficIntMoreThan3000ft</t>
  </si>
  <si>
    <t>S3_Waste_OrganicFG</t>
  </si>
  <si>
    <t>S1_Butane</t>
  </si>
  <si>
    <t>S3_UDTFuel_AirTrafficDomLessThan3000ft</t>
  </si>
  <si>
    <t>S1_Gasdiesel_oil</t>
  </si>
  <si>
    <t>S1_Bus</t>
  </si>
  <si>
    <t>S3_UDTDistance_SeaTanker_Units</t>
  </si>
  <si>
    <t>S3_Waste_Garden</t>
  </si>
  <si>
    <t>S1_Fishing_Ships</t>
  </si>
  <si>
    <t>S3_UDTFuel_AirTrafficDomMoreThan3000ft</t>
  </si>
  <si>
    <t>S3_UDTDistance_CargoShip_Units</t>
  </si>
  <si>
    <t>S3_UDTFuel_AirTrafficIntLessThan3000ft</t>
  </si>
  <si>
    <t>S3_UDTDistance_Van_Units</t>
  </si>
  <si>
    <t>S3_Waste_HouseholdResidual</t>
  </si>
  <si>
    <t>S1_HeavyDutyVehicles</t>
  </si>
  <si>
    <t>S3_UDTFuel_AirTrafficIntMoreThan3000ft</t>
  </si>
  <si>
    <t>S3_Waste_PlasticsAverage</t>
  </si>
  <si>
    <t>S3_UDTFuel_Bus</t>
  </si>
  <si>
    <t>S3_UDTFuel_CargoShip</t>
  </si>
  <si>
    <t>S3_UDTDistance_HeavyDutyVehiclesRefrigerated</t>
  </si>
  <si>
    <t>S3_Waste_PaperBoardMix</t>
  </si>
  <si>
    <t>S1_Heavy_Fuel_Oil</t>
  </si>
  <si>
    <t>S3_UDTFuel_CommercialInstitutional</t>
  </si>
  <si>
    <t>S1_LightDutyVehicles</t>
  </si>
  <si>
    <t>S3_BT_Ferry</t>
  </si>
  <si>
    <t>S3_Waste_WEEE</t>
  </si>
  <si>
    <t>S1_Kerosene</t>
  </si>
  <si>
    <t>S3_UDTFuel_FishingShips</t>
  </si>
  <si>
    <t>S3_BT_PassengerCars</t>
  </si>
  <si>
    <t>S1_Motorcycles</t>
  </si>
  <si>
    <t>S3_UDTFuel_Forestry</t>
  </si>
  <si>
    <t>PET Plastic</t>
  </si>
  <si>
    <t>S1_Passenger_Cars</t>
  </si>
  <si>
    <t>S3_UDTDistance_SeaTanker</t>
  </si>
  <si>
    <t>S1_LPG</t>
  </si>
  <si>
    <t>S3_UDTFuel_HeavyDutyVehicles</t>
  </si>
  <si>
    <t>S1_Sea_Navigation</t>
  </si>
  <si>
    <t>S3_UDTFuel_LightDutyVehicles</t>
  </si>
  <si>
    <t>S3_UDTDistance_CargoShip</t>
  </si>
  <si>
    <t>S3_BT_Motorcycles</t>
  </si>
  <si>
    <t>S3_BT_Taxi</t>
  </si>
  <si>
    <t>S1_Propane</t>
  </si>
  <si>
    <t>S1_Sea_Navigation_INT</t>
  </si>
  <si>
    <t>S3_BT_Bus</t>
  </si>
  <si>
    <t>S3_Waste_PlasticPET</t>
  </si>
  <si>
    <t>Recycled - Closed loop</t>
  </si>
  <si>
    <t>S1_Waste_Oils</t>
  </si>
  <si>
    <t>S1_Wood_Chips</t>
  </si>
  <si>
    <t>S3_UDTFuel_ManufacturingIndustries</t>
  </si>
  <si>
    <t>S1_Wood_Logs</t>
  </si>
  <si>
    <t>S1_Wood_Pellets</t>
  </si>
  <si>
    <t>S3_UDTFuel_Motorcycles</t>
  </si>
  <si>
    <t>S3_UDTDistance_Van</t>
  </si>
  <si>
    <t>S3_UDTFuel_PassengerCars</t>
  </si>
  <si>
    <t>S3_UDTFuel_Residential</t>
  </si>
  <si>
    <t>S3_UDTFuel_SeaNavigation</t>
  </si>
  <si>
    <t>S3_UDTFuel_SeaNavigationInt</t>
  </si>
  <si>
    <t>S3_UDTFuel_SeaTanker</t>
  </si>
  <si>
    <t>Lookup</t>
  </si>
  <si>
    <t>Faroe Islands GHG Calculator</t>
  </si>
  <si>
    <t>Relevant Guidance</t>
  </si>
  <si>
    <t xml:space="preserve">Organisations operating in the Faroe Islands are expected to annually report their Scope 1, 2 and 3 emissions in accordance with the GHG Protocol Corporate Standard. For further information on the GHG Protocol Corporate Standard please see the links under 'Relevant Guidance'.
This Tool, the Faroe Islands Greenhouse Gas (GHG) Calculator, has been set up by the Faroese Environment Agency to assist Faroese organisations in reporting their Scope 1, 2, and Scope 3 emissions.
• Scope 1 are emissions from sources that your organisation owns or controls.
• Scope 2 are emissions that your organisation causes indirectly when the energy it purchases and uses is produced.
• Scope 3 are emissions that are not produced by your organisation but by those within the value chain.
The Calculator can be used to assist the calculation of specific Scope 1, 2 and 3 emissions categories. These are defined 'GHG Protocol Scopes included in the Faroes GHG Calculator' below. 
The Calculator has specific sheets for the each Scope category that you can use to calculate emissions. Each sheet requires organisation activity data to be input from a User at the organisation. Details of how to use the Calculator are described in the 'How to Use' section below.
The User should utilise the Tool from left to right - starting with Scope 1 - Fuels (Stationary) through to Scope 3 - Waste generated in operations. Within each sheet the calculation table should be filled in from left to right to avoid any errors.
A summary of the organisation emissions calculated, by Scope and category, are available in the 'Summary' tab. </t>
  </si>
  <si>
    <t xml:space="preserve">The Faroe Islands GHG Calculator allows industry organisations to calculate emissions from activities within the following Scopes:
</t>
  </si>
  <si>
    <t>GHG Protocol Scopes Included in the Faroes GHG Calculator</t>
  </si>
  <si>
    <t>Activity Type</t>
  </si>
  <si>
    <t>Fuels - Stationary Combustion</t>
  </si>
  <si>
    <t>Fuels - Mobile Combustion</t>
  </si>
  <si>
    <t>Emissions from the fuel consumption of solid, liquid or gaseous fuel, generally for the purposes of producing electricity, generating steam or heat.  This includes the combustion of fossil fuels by generators, natural gas boilers, and any other plant equipment that emit Greenhouse Gases into the atmosphere.</t>
  </si>
  <si>
    <t>Emissions from fuel consumption by mobile sources (on-road and non-road vehicles) owned or leased by the organisation.</t>
  </si>
  <si>
    <t>Emissions from refrigeration and air conditioning leakage, service, and disposal at the end of the useful life of the equipment.</t>
  </si>
  <si>
    <t xml:space="preserve">Emissions from the generation of purchased electricity used by the organisation.
In GHG accounting, this is accounted for by either a 'market-based' approach or 'location-based' approach. 
The emissions calculated in the 'S2 - Purchased Electricity' tab relate to location-based emissions. A location-based approach reflects the average emissions intensity of the grid on which electricity consumption occurs.
A market-based method reflects emissions from electricity that the organisation has purchased. This is not included within this Calculator as this is currently not available for Faroes organisations.
</t>
  </si>
  <si>
    <t>Emissions from steam, heat, and cooling delivered through the grid.</t>
  </si>
  <si>
    <t>Upstream Distribution and Transportation</t>
  </si>
  <si>
    <t>Fuel and Energy related activities</t>
  </si>
  <si>
    <t>Downstream Distribution and Transportation</t>
  </si>
  <si>
    <t>Transportation and distribution of products purchased by the reporting organisation in the reporting year between a company’s tier 1 suppliers and its own operations (in vehicles and facilities not owned or controlled by the reporting company).
Transportation and distribution services purchased by the reporting company in the reporting year, including inbound logistics, outbound logistics (e.g., of sold products), and transportation and distribution between a company’s own facilities (in vehicles and facilities not owned or controlled by the reporting company).</t>
  </si>
  <si>
    <t xml:space="preserve">Emissions related to the production of fuels and energy purchased and consumed by the reporting company in the reporting year that are not included in scope 1 or scope 2 (e.g. Electricity Transmission and Distribution, Electricity Well-to-Tank and Fuels Well-to-Tank emissions). 
Note these emissions are calculated automatically in various tabs and do not require manual user input. </t>
  </si>
  <si>
    <t>Disposal and treatment of waste generated in the reporting company’s operations in the reporting year (in facilities not owned or controlled by the reporting company).</t>
  </si>
  <si>
    <t>Emissions from the transportation of employees for business-related activities in vehicles owned or operated by third parties, such as aircraft, buses, and passenger cars.</t>
  </si>
  <si>
    <t>Emissions from the transportation of employees between their homes and their worksites.</t>
  </si>
  <si>
    <t>Emissions that occur from transportation and distribution of sold products in vehicles and facilities not owned or controlled by the reporting company.</t>
  </si>
  <si>
    <t>Instructions on How to Use the Faroes GHG Calculator are outlined below:</t>
  </si>
  <si>
    <t>How to use</t>
  </si>
  <si>
    <t xml:space="preserve">1. The User must fill in the organisation details in the 'Organisation Details' sheet.
2. The User must compile the applicable organisation activity data for each sheet in order to calculate emissions. Activity data required varies for each sheet, and so instructions on data required to calculate emissions are clear at the top of each sheet.
3. Once the organisation activity data is collected by the User, they are able to input activity data in each sheet to calculate emissions (in tonnes of carbon dioxide equivalent). Within each sheet the calculation table should be filled in from left to right to avoid any errors. Further instructions of how to calculate emissions in each sheet are clear at the top of each sheet.
Note, to calculate the emissions, the Calculator uses emission factors acquired from the following various data sources, as explained in the 'Emission Factors' section below. 
4. Emissions (tonnes of carbon dioxide equivalent) are calculated for each row of data input in each sheet, and totalled at the bottom of each sheet. These are summarised by Scope/Activity Type in the 'Summary' tab.
</t>
  </si>
  <si>
    <t>Included Greenhouse Gases (GHGs)</t>
  </si>
  <si>
    <t>Disclaimer</t>
  </si>
  <si>
    <t>Sheets</t>
  </si>
  <si>
    <t>Introduction to calculator including context and instructions on GHG Protocol Scopes, how to use the Calculator, emission factors and GHGs included.</t>
  </si>
  <si>
    <t>Contents page.</t>
  </si>
  <si>
    <t>In this sheet, the User must Input the organisation details, user name, and facilities/locations applicable to your organisation.</t>
  </si>
  <si>
    <t>Emissions (tCO2e) by Scope and category.</t>
  </si>
  <si>
    <t>Emissions calculations for fuel consumption used to produce electricity, heat, steam or power . This includes the combustion of fossil fuels by generators, natural gas boilers, and any other plant equipment that emits GHGs into the atmosphere.</t>
  </si>
  <si>
    <t>Emissions calculations for fuel consumption by vehicles that are owned or leased by the company e.g. light/heavy duty vehicles, cars, trucks, planes, fishing boats. This includes the combustion of fuels by mobile equipment emits GHGs into the atmosphere.</t>
  </si>
  <si>
    <t>Emissions calculations for electricity purchased from your local utility for consumption.</t>
  </si>
  <si>
    <t xml:space="preserve">Emissions calculations for fuel consumption by company-financed vehicles used to conduct transportation and distribution upstream within the company value chain. </t>
  </si>
  <si>
    <t xml:space="preserve">Downstream Transportation and Distribution considers fuel consumption by company-financed vehicles used to conduct transportation and distribution downstream within the company value chain. </t>
  </si>
  <si>
    <t>Emissions calculations for transport of employees for business-related activities in vehicles owned or operated by third parties, such as aircraft, trains, buses, and passenger cars.</t>
  </si>
  <si>
    <t>Emissions calculations for transportation of employees between their homes and worksites.</t>
  </si>
  <si>
    <t>Emissions calculations for third-party disposal and treatment of waste generated in the organsiation's owned or controlled operations.</t>
  </si>
  <si>
    <t>Dropdowns used within each activity sheet.</t>
  </si>
  <si>
    <t>Conversion factors used.</t>
  </si>
  <si>
    <t>Descriptions used (for language selection).</t>
  </si>
  <si>
    <t>Global Warming Potentials by IPCC 4th/5th Assessment Reports.</t>
  </si>
  <si>
    <t>In this sheet, the User must input the organisation name, reporting year type (annual/financial), User name, and facilities/assets by location within your organisation.
Note:
• The 'Organisation' and 'Reporting year' fields are used in the Summary charts. 
• The 'Facility/Asset and Location' lookup allows you to select specific facility/assets by location within the calculation sheets. 
• There is an 'All' Facility/Asset and Location applied. This can be used where you wish to calculate emissions related to no specific facility/asset e.g. business travel and employee commuting.
• Except from the 'Organisation', 'Facility/Asset and 'Location' fields, the remainder of this information is for reference only. 
• Companies with more than one organisation (e.g. parent companies) can use the 'Facility/Asset and Location' fields to map out the facilities/assets by location within their organisation. Alternatively, they may wish to complete multiple versions of the Calculator for each of their organisations.</t>
  </si>
  <si>
    <t>Reporting Year</t>
  </si>
  <si>
    <t>Reporting Year Type</t>
  </si>
  <si>
    <t>User</t>
  </si>
  <si>
    <t>Facility/Asset and Location</t>
  </si>
  <si>
    <t>Facility/Asset</t>
  </si>
  <si>
    <t>Location</t>
  </si>
  <si>
    <t>Key - Data Input - Dropdown</t>
  </si>
  <si>
    <t>Data Input - Dropdown</t>
  </si>
  <si>
    <t>Key - Data Input</t>
  </si>
  <si>
    <t>Data Input</t>
  </si>
  <si>
    <t>Key - Automatic Lookup</t>
  </si>
  <si>
    <t>Automatic Lookup</t>
  </si>
  <si>
    <t>Key - Outputs</t>
  </si>
  <si>
    <t>Outputs</t>
  </si>
  <si>
    <t>Data input - Dropdown</t>
  </si>
  <si>
    <t>Data input - Manual entry</t>
  </si>
  <si>
    <t>Lookup (locked)</t>
  </si>
  <si>
    <t>Calculation</t>
  </si>
  <si>
    <t>S1 - Stationary Combustion</t>
  </si>
  <si>
    <t>Fuel combusted</t>
  </si>
  <si>
    <t>Emission Factor Category</t>
  </si>
  <si>
    <t>GHG Emissions (tonnes CO2e)</t>
  </si>
  <si>
    <t>Transport Category</t>
  </si>
  <si>
    <t>Emissions Calculations Table</t>
  </si>
  <si>
    <t>S1 - Refrigerants, if relevant, includes leaks in your company's HVAC system, chillers and refrigerators through which refrigerant gas escapes. Most refrigerant gases emit GHGs when leaked into the atmosphere. The quantity of leaked gas is assumed to equal the amount of gas replaced in these systems by your HVAC or chiller maintenance company. Therefore, collect data on amount of refrigerant gas replaced in your operations for the defined period.
Data Required:
• Facility/location (where refrigerant is replaced)
• Operations (for which refrigerant is replaced) 
• Type of refrigerant
• Amount of refigerant replaced
• Units of refrigerant replaced
Note:
• Tonnes = 1000kg.</t>
  </si>
  <si>
    <t>Refrigerant Type</t>
  </si>
  <si>
    <t>GWP</t>
  </si>
  <si>
    <t xml:space="preserve">Scope 2 - Purchased Electricity considers electricity purchased from SEV for consumption. The User should collect electricity consumption data from it's facilities/assets. 
Data Required:
• Facility/Asset and Location (where electricity is consumed)
• Operations (for where electricity is consumed)
• Electricity generated source (island specific - if unknown, select 'Faroes Weighted Average').
• Amount of electricity consumed
• Units of electricity use
Note, the Well-To-Tank (WTT) and Transmission and Distribution (T&amp;D) emissions for electricity use are automatically calculated in the 'Fuel and Energy related activities' table. </t>
  </si>
  <si>
    <t>S2 - District Heating, if relevant, considers emissions from steam, heat, and cooling delivered through the grid. The user should collect any heating consumption data within it's facilties/assets.
Data Required:
• Facility/Asset and Location (where district heating is applied)
• Operations (for where district heating is applied)
• District Heating generated source (island specific - if unknown, select 'Default').
• Amount of heating consumed
• Units of heating use
Note:
• A district heating emission factor is only currently available for Torshavyn. This is expected to change in future versions of the Tool. Currently, both 'Default' and the 'Torshavyn' district heating emission factors are the same. Where district heating is applied within Torshavyn, apply the 'Torshavyn' district heating source. Where it is not applied within Torshavyn, use the 'Default' district heating source.</t>
  </si>
  <si>
    <t>Raw Data Type</t>
  </si>
  <si>
    <t>If tonne.km: Tonnes Moved</t>
  </si>
  <si>
    <t>Scope 3 - Business Travel considers transport of employees for business-related activities in vehicles owned or operated by third parties, such as aircraft, trains, buses, and passenger cars. This data can be collected through avenues such as internal systems or fuel cards.
Data Required:
• Facility/Asset and Location (where transport originates)
• Operations (for where transport is required)
• Transport type
• Emissions source
• Amount of distance travelled
• Unit of distance travelled
Note:
• Passenger.km - Distance travelled by individual passengers on the transport mode. Vehicle km conversion factors should be applied to a whole vehicle (such as a car or taxi) being used for business purposes. Passenger km factors should be used when single passengers are travelling by means of mass transport (such as by train ) and the aim is to report emissions on a single-person basis, not account for the whole vehicle.
• The air travel data is from BEIS GHG Conversion Factors (UK) as there are no specific distance air travel business travel emission factors for the Faroes. The following hauls are available and should be used as best fit to Faroes operations:
      •Domestic flights are those between UK airports.
      •Short-haul - to/from UK - International flights to/from the UK, typically to Europe (up to 3700km distance).
      •Long-haul international flights to/from the UK, typically to non-European destinations (over 3700km distance).
      •International flights to/from non-UK countries.
• For air travel, if the 'class' type is unknown (e.g. business class, economy class), use the 'average passenger' class.</t>
  </si>
  <si>
    <t>Scope 3 - Employee Commuting considers transportation of employees between their homes and worksites. Organisations should seek to calcualte the distance travelled by employees over the reporting period (e.g. passenger km travelled) and the mode of transport used for commuting (e.g. train, bus, car). This data can be collected through surveys or estimated based on headcount, average distance to facilities and estimated transportation modes.
Data Required:
• Facility/Asset and Location (where transport originates) - Optional
• Operations (for where transport is required) - Optional
• Transport type
• Emissions source
• Amount of distance travelled
• Unit of distance travelled
Note: 
• Passenger.km - Distance travelled by individual passengers on the transport mode. Vehicle km conversion factors should be applied to a whole vehicle (such as a car or taxi) being used for business purposes. Passenger km factors should be used when single passengers are travelling by means of mass transport (such as by train ) and the aim is to report emissions on a single-person basis, not account for the whole vehicle.</t>
  </si>
  <si>
    <t>Destination</t>
  </si>
  <si>
    <t>Purchased goods and services</t>
  </si>
  <si>
    <t>Capital goods</t>
  </si>
  <si>
    <t>Upstream leased assets</t>
  </si>
  <si>
    <t>Processing of sold products</t>
  </si>
  <si>
    <t>Use of sold products</t>
  </si>
  <si>
    <t>End-of-life treatment of sold products</t>
  </si>
  <si>
    <t>Downstream leased assets</t>
  </si>
  <si>
    <t>Franchises</t>
  </si>
  <si>
    <t>Investments</t>
  </si>
  <si>
    <t>Not available in this calculator - please seek to calculate if applicable to your organisation.</t>
  </si>
  <si>
    <t>Example Organisation</t>
  </si>
  <si>
    <t>Additional comments</t>
  </si>
  <si>
    <t>Waste Category</t>
  </si>
  <si>
    <t>In the ‘Additional comments’ section, the User should make notes on reporting, such as assumptions or data exclusions. Please see example provided.</t>
  </si>
  <si>
    <t>Alt</t>
  </si>
  <si>
    <t>Please note, this graph and the table below will be populated once data has been input into each tab.</t>
  </si>
  <si>
    <t>Date</t>
  </si>
  <si>
    <t>-</t>
  </si>
  <si>
    <t>Name</t>
  </si>
  <si>
    <t>Direct/Indirect (Kyoto Protocol)</t>
  </si>
  <si>
    <t>GWP (4th assessment report): https://www.ghgprotocol.org/sites/default/files/ghgp/Global-Warming-Potential-Values%20%28Feb%2016%202016%29_1.pdf</t>
  </si>
  <si>
    <t>GWP (5th assessment report): https://www.ghgprotocol.org/sites/default/files/ghgp/Global-Warming-Potential-Values%20%28Feb%2016%202016%29_1.pdf</t>
  </si>
  <si>
    <t>SO2_g_GJ</t>
  </si>
  <si>
    <t>Sulphur Dioxide</t>
  </si>
  <si>
    <t>Indirect</t>
  </si>
  <si>
    <t>NOx_g_GJ</t>
  </si>
  <si>
    <t>Nitrogen Oxides</t>
  </si>
  <si>
    <t>NMVOC_g_GJ</t>
  </si>
  <si>
    <t>Non-methane volatile organic compounds</t>
  </si>
  <si>
    <t>CH4_g_GJ</t>
  </si>
  <si>
    <t>Direct</t>
  </si>
  <si>
    <t>CO_g_GJ</t>
  </si>
  <si>
    <t>Carbon Monoxide</t>
  </si>
  <si>
    <t>CO2_kg_GJ</t>
  </si>
  <si>
    <t>Carbon Dioxide</t>
  </si>
  <si>
    <t>N2O_g_GJ</t>
  </si>
  <si>
    <t>TSP_g_GJ</t>
  </si>
  <si>
    <t>Trisodium Phosphate</t>
  </si>
  <si>
    <t>PM10_g_GJ</t>
  </si>
  <si>
    <t>Inhalable Particulate Matter and Health</t>
  </si>
  <si>
    <t>PM2,5_g_GJ</t>
  </si>
  <si>
    <t>DEFRA GHG Conversion Factors (2022)</t>
  </si>
  <si>
    <t>Mál</t>
  </si>
  <si>
    <t>Inngangur</t>
  </si>
  <si>
    <t>Viðkomandi vegleiðingar</t>
  </si>
  <si>
    <t>Útgáva</t>
  </si>
  <si>
    <t>Vegleiðing</t>
  </si>
  <si>
    <t>Vav</t>
  </si>
  <si>
    <t>Slag av virksemi</t>
  </si>
  <si>
    <t>Lýsing</t>
  </si>
  <si>
    <t>Vav 1</t>
  </si>
  <si>
    <t>Brennievni - á ávísum stað</t>
  </si>
  <si>
    <t>Brennievni - flytførar eindir</t>
  </si>
  <si>
    <t>Kølievni</t>
  </si>
  <si>
    <t>Vav 2</t>
  </si>
  <si>
    <t>Elnýtsla</t>
  </si>
  <si>
    <t>Fjarhiti</t>
  </si>
  <si>
    <t>Útlát frá dampi, hita og køling, sum verður latið gjøgnum netið/skipanina.</t>
  </si>
  <si>
    <t>Vav 3</t>
  </si>
  <si>
    <t>Rávøruveiting og -flutningur</t>
  </si>
  <si>
    <t>Virksemi tengt at brennievni og orku</t>
  </si>
  <si>
    <t>Burturkast, sum stavar frá virksemi</t>
  </si>
  <si>
    <t>Ferðing í arbeiðsørindum</t>
  </si>
  <si>
    <t>Liðugvøruveiting og -flutningur</t>
  </si>
  <si>
    <t>Útlát, sum stavar frá flutningi og útbering av seldum vørum, í akførum og hølum, sum fyritøkan ikki eigur ella hevur ræði á.</t>
  </si>
  <si>
    <t>Nýtslulvegleiðing til CO2-roknaran er niðanfyri:</t>
  </si>
  <si>
    <t>Nýtsluvegleiðing</t>
  </si>
  <si>
    <t>Útlátsfaktorar</t>
  </si>
  <si>
    <t>Íroknað vakstrarhúsgass</t>
  </si>
  <si>
    <t>Fyrivarni</t>
  </si>
  <si>
    <t>Innihald</t>
  </si>
  <si>
    <t>Ørk</t>
  </si>
  <si>
    <t>Innihaldsyvirlit</t>
  </si>
  <si>
    <t>Útlát (tCO2e) býtt á vav/virksemi</t>
  </si>
  <si>
    <t>Útlát frá lekum á køli- og luftskiftisskipanum, -tænastum og burturbeining av slíkari útgerð, tá ið hon ikki verður brúkt longur.</t>
  </si>
  <si>
    <t>Útlátsútrokningar fyri el, ið er keypt frá lokalum veitara til nýtslu.</t>
  </si>
  <si>
    <t>Útlát frá dampi, hita og køling, ið er veitt gjøgnum netið/skipan.</t>
  </si>
  <si>
    <t>Útlátsútrokningar av brennievnisnýtslu hjá akførum, ið eru fíggjað av fyritøkuni og nýtt til rávøruflutning og -veiting í virðisketu fyritøkunnar.</t>
  </si>
  <si>
    <t>Liðugvøruflutningur og -veiting fevnir um brennievnisnýtslu hjá akførum, ið eru fíggjað av fyritøkuni og nýtt til liðugvøruflutning og -veiting í virðisketu fyritøkunnar.</t>
  </si>
  <si>
    <t>Útrokningar av útláti frá flutningi av starvsfólki í arbeiðsørindum í akførum, sum triði partur eigur ella rekur, til dømis flogførum, tokum, bussum og bilum.</t>
  </si>
  <si>
    <t>Útrokningar av útláti frá flutningi av starvsfólki millum bústað og arbeiðsstað.</t>
  </si>
  <si>
    <t>Útrokningar av útláti frá burturbeining og viðgerð hjá triðjaparti av burturkasti frá virksemi, ið fyritøkan varðar av.</t>
  </si>
  <si>
    <t>Fallmyndir, ið verða brúktar á hvørjum arki.</t>
  </si>
  <si>
    <t>Umrokningarfaktorar, ið verða brúktir.</t>
  </si>
  <si>
    <t>Lýsingar, ið verða brúktar (til málsliga partin).</t>
  </si>
  <si>
    <t>Upphitingarvirði úr fjórðu/fimtu veðurlagsfrágreiðingini hjá IPCC.</t>
  </si>
  <si>
    <t>Fyritøkuupplýsingar</t>
  </si>
  <si>
    <t>Fyritøka</t>
  </si>
  <si>
    <t>Fráboðanarár</t>
  </si>
  <si>
    <t>Slag av fráboðarári</t>
  </si>
  <si>
    <t>Brúkari</t>
  </si>
  <si>
    <t>Fasilitetur/ogn og staðseting</t>
  </si>
  <si>
    <t>Fasilitetur/ogn</t>
  </si>
  <si>
    <t>Staðseting</t>
  </si>
  <si>
    <t>Leiting</t>
  </si>
  <si>
    <t>Dátuíkast - Fallmynd</t>
  </si>
  <si>
    <t>Dátuíkast</t>
  </si>
  <si>
    <t>Sjálvvirkin leiting</t>
  </si>
  <si>
    <t>Úttøk</t>
  </si>
  <si>
    <t>Lykil</t>
  </si>
  <si>
    <t>Dátuíkast - Tøppa inn</t>
  </si>
  <si>
    <t>Leiting (fastløst)</t>
  </si>
  <si>
    <t>Útrokning</t>
  </si>
  <si>
    <t>Samandráttur</t>
  </si>
  <si>
    <t>Útlátsbólkur</t>
  </si>
  <si>
    <t>Vav 1 - Brennievni - brenning á føstum skipanum</t>
  </si>
  <si>
    <t>Vav 1 - Brennievni - brenning á flytførum skipanum</t>
  </si>
  <si>
    <t>Vav 1 - Kølievni</t>
  </si>
  <si>
    <t>Vav 2 - Keypt el</t>
  </si>
  <si>
    <t>Vav 2 - Fjarhiti</t>
  </si>
  <si>
    <t>Vav 3 - Rávøruveiting og -flutningur</t>
  </si>
  <si>
    <t>Vav 3 - Liðugvøruveiting og -flutningur</t>
  </si>
  <si>
    <t>Vav 3 - Arbeiðsferðing</t>
  </si>
  <si>
    <t>Vav 3 - Starvsfólkaferðing</t>
  </si>
  <si>
    <t>Vav 3 - Burturkast frá virksemi</t>
  </si>
  <si>
    <t>Vav 3 - Virksemi tengt at brennievni og orku</t>
  </si>
  <si>
    <t>Dømi</t>
  </si>
  <si>
    <t>Virksemi</t>
  </si>
  <si>
    <t>Brent brennievni</t>
  </si>
  <si>
    <t>Nøgd</t>
  </si>
  <si>
    <t>Eindir</t>
  </si>
  <si>
    <t>Set eind inn</t>
  </si>
  <si>
    <t>Kelda útlátsfaktor Eind</t>
  </si>
  <si>
    <t>Umrokningarfaktorur</t>
  </si>
  <si>
    <t>Útlátsfaktorur</t>
  </si>
  <si>
    <t>Útlátsfaktorur Eind</t>
  </si>
  <si>
    <t>Kelda Útlátsfaktorur</t>
  </si>
  <si>
    <t>Viðmerking frá brúkara</t>
  </si>
  <si>
    <t>Flutningsbólkur</t>
  </si>
  <si>
    <t>Samanlagt</t>
  </si>
  <si>
    <t>Talva við útlátsútrokningum</t>
  </si>
  <si>
    <t>V1 - Brenning á flytførum eindum</t>
  </si>
  <si>
    <t>V1 - Kølievni</t>
  </si>
  <si>
    <t>V1 - Kølievni, um viðkomandi, fevna um lekar í HVS skipanum, køliskipanum og kuldaskápum, haðani kølievni lekur. Nøkur kølievni eru vakstrarhúsgass. Nøgdin av gassi, sum lekur úr skipanunum, verður mett at svara til nøgdina, ið veitarin má fylla á skipanina aftur. Sostatt skulu dátur savnast um nøgd av kølievni, sum verður fylt á skipanirnar.
Kravdar dátur:
• Fasilitetur/ogn og staðseting (har kølievni verður fylt á)
• Virksemi (har kølievni verður fylt á)
• Slag av kølievni
• Nøgd av kølievni, sum verður fylt á
• Eind fyri kølievni, sum verður fylt á
GG:
• Tons = 1000 kg</t>
  </si>
  <si>
    <t>Slag av kølievni</t>
  </si>
  <si>
    <t>Upphitingarvirði</t>
  </si>
  <si>
    <t>V2 - Keypt el</t>
  </si>
  <si>
    <t>Elkelda</t>
  </si>
  <si>
    <t>V2 - Fjarhiti</t>
  </si>
  <si>
    <t>Fjarhitakelda</t>
  </si>
  <si>
    <t>V3 - Rávøruflutningur og -veiting</t>
  </si>
  <si>
    <t>Slag av dátum</t>
  </si>
  <si>
    <t>Flutningsháttur</t>
  </si>
  <si>
    <t>Um tons.km: Flutt tons</t>
  </si>
  <si>
    <t>Útlátskelda</t>
  </si>
  <si>
    <t>V3 - Liðugvøruflutningur og -veiting</t>
  </si>
  <si>
    <t>V3 - Arbeiðsferðing</t>
  </si>
  <si>
    <t>V3 - Starvsfólkaferðing</t>
  </si>
  <si>
    <t>Vav 3 - Burturkast frá virksemi fevnir um burturbeining og viðgerð hjá triðja parti av burturkasti frá virksemi, ið fyritøkan varðar av. Fyritøkur skulu boða frá nøgd av burturbeindum burturkasti frá virksemi teirra og hvagar tað fer, t.d. til IRF ella KB.
Kravdar dátur:
• Fasilitetur/ogn og staðseting (haðan burturkasti stavar)
• Virksemi (sum elvir til burturkast)
• Burturkastbólkur
• Endastøð
• Burturkastnøgd
• Eind fyri burturkast
GG:
• Tons = 1000 kg</t>
  </si>
  <si>
    <t>V3 - Burturkast frá virksemi</t>
  </si>
  <si>
    <t>Endastøð</t>
  </si>
  <si>
    <t>Vav 3 - Flutningur (starvsfólkaferðing, arbeiðsferðing, liðugvøruflutningur og -veiting, rávøruflutningur og -veiting)</t>
  </si>
  <si>
    <t>Keyptar vørur og tænastur</t>
  </si>
  <si>
    <t>Íløgugóðar</t>
  </si>
  <si>
    <t>Langleigaðar rávøruognir</t>
  </si>
  <si>
    <t>Viðgerð av seldum vørum</t>
  </si>
  <si>
    <t>Nýtsla av seldum vørum</t>
  </si>
  <si>
    <t>Endaviðgerð av seldum vørum</t>
  </si>
  <si>
    <t>Langtíðarleigaðar liðugvøruognir</t>
  </si>
  <si>
    <t>Einkarumboð</t>
  </si>
  <si>
    <t>Íløgur</t>
  </si>
  <si>
    <t>Bygningar</t>
  </si>
  <si>
    <t>Skrivstovur</t>
  </si>
  <si>
    <t>Goymsla</t>
  </si>
  <si>
    <t>Floti</t>
  </si>
  <si>
    <t>Aðrar viðmerkingar</t>
  </si>
  <si>
    <t>Ikki tøkt í hesum roknara. Vinaliga kanna um til ber at rokna útláti á annan hátt, um hetta er viðkomandi fyri fyritøku tykkara.</t>
  </si>
  <si>
    <t>Fyritøka - dømi</t>
  </si>
  <si>
    <t>Slag av burturkasti</t>
  </si>
  <si>
    <t>Í teiginum 'Aðar viðmerkingar' kann brúkarin skriva viðmerkingar til fráboðanina, til dømis um metingar ella vantandi dátur. Sí dømi.</t>
  </si>
  <si>
    <t>GG. Grafurin og talvan niðanfyri koma fram so hvørt dátur verða settar inn í ymisku rokniørkini.</t>
  </si>
  <si>
    <t xml:space="preserve">This document is for the sole use of the organisation using it. No data will be collected by any other party when it is downloaded for use.
US shall hold title to any and all intellectual property rights from this document.
While all reasonable care has been taken to ensure the accuracy of the content, US does not guarantee its accuracy or completeness and will not be held liable for any loss or damages of any nature ensuing from using, trusting or acting on information provided. 
This document is for information purposes only. 
No information set out or referred to in this document may be regarded as creating any right or obligation. 
The Faroes GHG Calculator only covers the following Scope categories:
Scope 1 - Stationary Combustion, Mobile Combustion and Refrigerants Use
Scope 2 - Purchased Electricity, District Heating
Scope 3 - Upstream/Downstream Transporation, Business Travel, Employee Commuting and Fuel and Energy related activities (the latter is automatically calculated).
The Calculator therefore does not cover all emissions sources relevant to the organisation's value chain, given likely varied data and complexity in calculations. The organisation should seek to calculate other emissions within their value chain internally or through other sources.
The Calculator can be used to assist the purposes of carbon reporting. Note Umhvørvisstovan are not liable for the emissions reported and therefore Users are advised to check and understand calculated emissions and emission factors previous to reporting. </t>
  </si>
  <si>
    <t>Føroya besta fyritøka</t>
  </si>
  <si>
    <t>MGH Boiler size &gt;300MW</t>
  </si>
  <si>
    <t>Updated unchanged from 2022 to 2023</t>
  </si>
  <si>
    <t>Updated changed from 2022 to 2024</t>
  </si>
  <si>
    <t>Not updated</t>
  </si>
  <si>
    <t>https://envs.au.dk/fileadmin/envs/Emission_inventories/Emission_factors/Emf_internet_energy_GHG.htm</t>
  </si>
  <si>
    <t>UK Government (BEIS) Greenhouse gas reporting: conversion factors (2023) - Fuels - Gaseous fuels - Propane</t>
  </si>
  <si>
    <t>UK Government (BEIS) Greenhouse gas reporting: conversion factors (2023) - Fuels - Gaseous fuels - Butane</t>
  </si>
  <si>
    <t>UK Government (BEIS) Greenhouse gas reporting: conversion factors (2023) - Fuels - Liquid fuel use - Waste oils</t>
  </si>
  <si>
    <t>UK Government (BEIS) Greenhouse gas reporting: conversion factors (2023) - Bioenergy - Biomass - Wood logs</t>
  </si>
  <si>
    <t>UK Government (BEIS) Greenhouse gas reporting: conversion factors (2023) - Bioenergy - Biomass - Wood chips</t>
  </si>
  <si>
    <t>UK Government (BEIS) Greenhouse gas reporting: conversion factors (2023) - Bioenergy - Biofuel - Biodiesel HVO</t>
  </si>
  <si>
    <t>UK Government (BEIS) Greenhouse gas reporting: conversion factors (2023) - Fuels - Liquid fuels - Marine gas oil</t>
  </si>
  <si>
    <t>UK Government (BEIS) Greenhouse gas reporting: conversion factors (2023) - Fuels - Liquid fuels - Diesel (100% mineral diesel)</t>
  </si>
  <si>
    <t>UK Government (BEIS) Greenhouse gas reporting: conversion factors (2023) - Fuels - Liquid fuels - Aviation turbine fuel</t>
  </si>
  <si>
    <t>UK Government (BEIS) Greenhouse gas reporting: conversion factors (2023) - Fuels - Liquid fuels - Aviation spirit</t>
  </si>
  <si>
    <t>UK Government (BEIS) Greenhouse gas reporting: conversion factors (2023) - Freighting goods - Domestic, to/from UK - with RF</t>
  </si>
  <si>
    <t>UK Government (BEIS) Greenhouse gas reporting: conversion factors (2023) - Freighting goods - Short-haul, to/from UK - with RF</t>
  </si>
  <si>
    <t>UK Government (BEIS) Greenhouse gas reporting: conversion factors (2023) - Freighting goods - Long-haul, to/from UK - with RF</t>
  </si>
  <si>
    <t>UK Government (BEIS) Greenhouse gas reporting: conversion factors (2023) - Freighting goods - International, to/from non-UK - with RF</t>
  </si>
  <si>
    <t>UK Government (BEIS) Greenhouse gas reporting: conversion factors (2023) - Freighting goods - HGV (all diesel) - Rigid (&gt;3.5 - 7.5 tonnes) - Average Laden</t>
  </si>
  <si>
    <t>UK Government (BEIS) Greenhouse gas reporting: conversion factors (2023) - Freighting goods - HGV (all diesel) - Rigid (&gt;7.5 tonnes-17 tonnes) - Average Laden</t>
  </si>
  <si>
    <t>UK Government (BEIS) Greenhouse gas reporting: conversion factors (2023) - Freighting goods - HGV (all diesel) - Rigid (&gt;17 tonnes) - Average Laden</t>
  </si>
  <si>
    <t>UK Government (BEIS) Greenhouse gas reporting: conversion factors (2023) - Freighting goods - HGV (all diesel) - All rigids - Average Laden</t>
  </si>
  <si>
    <t>UK Government (BEIS) Greenhouse gas reporting: conversion factors (2023) - Freighting goods - HGV (all diesel) - Articulated (&gt;3.5 - 33t) - Average Laden</t>
  </si>
  <si>
    <t>UK Government (BEIS) Greenhouse gas reporting: conversion factors (2023) - Freighting goods - HGV (all diesel) - Articulated (&gt;33t) - Average Laden</t>
  </si>
  <si>
    <t>UK Government (BEIS) Greenhouse gas reporting: conversion factors (2023) - Freighting goods - HGV (all diesel) - All artics - Average Laden</t>
  </si>
  <si>
    <t>UK Government (BEIS) Greenhouse gas reporting: conversion factors (2023) - Freighting goods - HGV (all diesel) - All HGVs - Average Laden</t>
  </si>
  <si>
    <t>UK Government (BEIS) Greenhouse gas reporting: conversion factors (2023) - Freighting goods - HGV refrigerated (all diesel) - Rigid (&gt;3.5 - 7.5 tonnes) - Average Laden</t>
  </si>
  <si>
    <t>UK Government (BEIS) Greenhouse gas reporting: conversion factors (2023) - Freighting goods - HGV refrigerated (all diesel) - Rigid (&gt;7.5 tonnes-17 tonnes) - Average Laden</t>
  </si>
  <si>
    <t>UK Government (BEIS) Greenhouse gas reporting: conversion factors (2023) - Freighting goods - HGV refrigerated (all diesel) - Rigid (&gt;17 tonnes) - Average Laden</t>
  </si>
  <si>
    <t>UK Government (BEIS) Greenhouse gas reporting: conversion factors (2023) - Freighting goods - HGV refrigerated (all diesel) - All rigids - Average Laden</t>
  </si>
  <si>
    <t>UK Government (BEIS) Greenhouse gas reporting: conversion factors (2023) - Freighting goods - HGV refrigerated (all diesel) - Articulated (&gt;3.5 - 33t) - Average Laden</t>
  </si>
  <si>
    <t>UK Government (BEIS) Greenhouse gas reporting: conversion factors (2023) - Freighting goods - HGV refrigerated (all diesel) - Articulated (&gt;33t) - Average Laden</t>
  </si>
  <si>
    <t>UK Government (BEIS) Greenhouse gas reporting: conversion factors (2023) - Freighting goods - HGV refrigerated (all diesel) - All artics - Average Laden</t>
  </si>
  <si>
    <t>UK Government (BEIS) Greenhouse gas reporting: conversion factors (2023) - Freighting goods - HGV refrigerated (all diesel) - All HGVs - Average Laden</t>
  </si>
  <si>
    <t>UK Government (BEIS) Greenhouse gas reporting: conversion factors (2023) - Freighting goods - Sea tanker - Crude tanker - Average</t>
  </si>
  <si>
    <t>UK Government (BEIS) Greenhouse gas reporting: conversion factors (2023) - Freighting goods - Sea tanker - Products tanker - Average</t>
  </si>
  <si>
    <t>UK Government (BEIS) Greenhouse gas reporting: conversion factors (2023) - Freighting goods - Sea tanker - Chemical tanker - Average</t>
  </si>
  <si>
    <t>UK Government (BEIS) Greenhouse gas reporting: conversion factors (2023) - Freighting goods - Sea tanker - LNG tanker - Average</t>
  </si>
  <si>
    <t>UK Government (BEIS) Greenhouse gas reporting: conversion factors (2023) - Freighting goods - Sea tanker - LPG tanker - Average</t>
  </si>
  <si>
    <t>UK Government (BEIS) Greenhouse gas reporting: conversion factors (2023) - Freighting goods - Cargo Ship - Bulk carrier - Average</t>
  </si>
  <si>
    <t>UK Government (BEIS) Greenhouse gas reporting: conversion factors (2023) - Freighting goods - Cargo Ship - General cargo - Average</t>
  </si>
  <si>
    <t>UK Government (BEIS) Greenhouse gas reporting: conversion factors (2023) - Freighting goods - Cargo Ship - Container ship - Average</t>
  </si>
  <si>
    <t>UK Government (BEIS) Greenhouse gas reporting: conversion factors (2023) - Freighting goods - Cargo Ship - Vehicle transport - Average</t>
  </si>
  <si>
    <t>UK Government (BEIS) Greenhouse gas reporting: conversion factors (2023) - Freighting goods - Cargo Ship - RoRo-Ferry - Average</t>
  </si>
  <si>
    <t>UK Government (BEIS) Greenhouse gas reporting: conversion factors (2023) - Freighting goods - Cargo Ship - Large RoPax ferry - Average</t>
  </si>
  <si>
    <t>UK Government (BEIS) Greenhouse gas reporting: conversion factors (2023) - Freighting goods - Cargo Ship - Refrigerated cargo - All dwt</t>
  </si>
  <si>
    <t>UK Government (BEIS) Greenhouse gas reporting: conversion factors (2023) - Freighting goods - Vans - Average (up to 3.5 tonnes) - Diesel</t>
  </si>
  <si>
    <t>UK Government (BEIS) Greenhouse gas reporting: conversion factors (2023) - Business travel- air - Flights - Domestic, to/from UK - Average passenger - with RF</t>
  </si>
  <si>
    <t>UK Government (BEIS) Greenhouse gas reporting: conversion factors (2023) - Business travel- air - Flights - Short-haul - to/from UK - Average passenger - with RF</t>
  </si>
  <si>
    <t>UK Government (BEIS) Greenhouse gas reporting: conversion factors (2023) - Business travel- air - Flights - Short-haul - to/from UK - Economy class - with RF</t>
  </si>
  <si>
    <t>UK Government (BEIS) Greenhouse gas reporting: conversion factors (2023) - Business travel- air - Flights - Short-haul - to/from UK - Business class - with RF</t>
  </si>
  <si>
    <t>UK Government (BEIS) Greenhouse gas reporting: conversion factors (2023) - Business travel- air - Flights - Long-haul - to/from UK - Average passenger - with RF</t>
  </si>
  <si>
    <t>UK Government (BEIS) Greenhouse gas reporting: conversion factors (2023) - Business travel- air - Flights - Long-haul - to/from UK - Economy class - with RF</t>
  </si>
  <si>
    <t>UK Government (BEIS) Greenhouse gas reporting: conversion factors (2023) - Business travel- air - Flights - Long-haul - to/from UK - Premium economy class - with RF</t>
  </si>
  <si>
    <t>UK Government (BEIS) Greenhouse gas reporting: conversion factors (2023) - Business travel- air - Flights - Long-haul - to/from UK - Business class - with RF</t>
  </si>
  <si>
    <t>UK Government (BEIS) Greenhouse gas reporting: conversion factors (2023) - Business travel- air - Flights - Long-haul - to/from UK - First class - with RF</t>
  </si>
  <si>
    <t>UK Government (BEIS) Greenhouse gas reporting: conversion factors (2023) - Business travel- air - Flights - International, to/from non-UK - Average passenger - with RF</t>
  </si>
  <si>
    <t>UK Government (BEIS) Greenhouse gas reporting: conversion factors (2023) - Business travel- air - Flights - International, to/from non-UK - Economy class - with RF</t>
  </si>
  <si>
    <t>UK Government (BEIS) Greenhouse gas reporting: conversion factors (2023) - Business travel- air - Flights - International, to/from non-UK - Premium economy class - with RF</t>
  </si>
  <si>
    <t>UK Government (BEIS) Greenhouse gas reporting: conversion factors (2023) - Business travel- air - Flights - International, to/from non-UK - Business class - with RF</t>
  </si>
  <si>
    <t>UK Government (BEIS) Greenhouse gas reporting: conversion factors (2023) - Business travel- air - Flights - International, to/from non-UK - First class - with RF</t>
  </si>
  <si>
    <t>UK Government (BEIS) Greenhouse gas reporting: conversion factors (2023) - Business travel- sea - Ferry - Foot passenger</t>
  </si>
  <si>
    <t>UK Government (BEIS) Greenhouse gas reporting: conversion factors (2023) - Business travel- sea - Ferry - Car passenger</t>
  </si>
  <si>
    <t>UK Government (BEIS) Greenhouse gas reporting: conversion factors (2023) - Business travel- sea - Ferry - Average (all passenger)</t>
  </si>
  <si>
    <t>UK Government (BEIS) Greenhouse gas reporting: conversion factors (2023) - Business travel- land - Cars (by size) - Average car - Diesel</t>
  </si>
  <si>
    <t>UK Government (BEIS) Greenhouse gas reporting: conversion factors (2023) - Business travel- land - Cars (by size) - Average car - Petrol</t>
  </si>
  <si>
    <t>UK Government (BEIS) Greenhouse gas reporting: conversion factors (2023) - Business travel- land - Cars (by size) - Average car - Hybrid</t>
  </si>
  <si>
    <t>UK Government (BEIS) Greenhouse gas reporting: conversion factors (2023) - Business travel- land - Cars (by size) - Average car - CNG</t>
  </si>
  <si>
    <t>UK Government (BEIS) Greenhouse gas reporting: conversion factors (2023) - Business travel- land - Cars (by size) - Average car - LPG</t>
  </si>
  <si>
    <t>UK Government (BEIS) Greenhouse gas reporting: conversion factors (2023) - Business travel- land - Cars (by size) - Average car - Unknown</t>
  </si>
  <si>
    <t>UK Government (BEIS) Greenhouse gas reporting: conversion factors (2023) - Business travel- land - Cars (by size) - Average car - Plug-in Hybrid Electric Vehicle</t>
  </si>
  <si>
    <t>UK Government (BEIS) Greenhouse gas reporting: conversion factors (2023) - Business travel- land - Cars (by size) - Average car - Battery Electric Vehicle</t>
  </si>
  <si>
    <t>UK Government (BEIS) Greenhouse gas reporting: conversion factors (2023) - Business travel- land - Motorbike - Average</t>
  </si>
  <si>
    <t>UK Government (BEIS) Greenhouse gas reporting: conversion factors (2023) - Business travel- land - Taxis - Regular Taxi</t>
  </si>
  <si>
    <t>UK Government (BEIS) Greenhouse gas reporting: conversion factors (2023) - Business travel- land - Bus - Average local bus</t>
  </si>
  <si>
    <t>UK Government (BEIS) Greenhouse gas reporting: conversion factors (2023) - Business travel- land - Bus - Coach</t>
  </si>
  <si>
    <t>UK Government (BEIS) Greenhouse gas reporting: conversion factors (2023) - Waste disposal - Refuse - Commercial and industrial waste - Combustion</t>
  </si>
  <si>
    <t>UK Government (BEIS) Greenhouse gas reporting: conversion factors (2023) - Waste disposal - Refuse - Organic: food and drink waste - Combustion</t>
  </si>
  <si>
    <t>UK Government (BEIS) Greenhouse gas reporting: conversion factors (2023) - Waste disposal - Refuse - Organic: food and drink waste - Landfill</t>
  </si>
  <si>
    <t>UK Government (BEIS) Greenhouse gas reporting: conversion factors (2023) - Waste disposal - Refuse - Organic: mixed food and garden waste - Landfill</t>
  </si>
  <si>
    <t>UK Government (BEIS) Greenhouse gas reporting: conversion factors (2023) - Waste disposal - Refuse - Organic: mixed food and garden waste - Composting</t>
  </si>
  <si>
    <t>UK Government (BEIS) Greenhouse gas reporting: conversion factors (2023) - Waste disposal - Refuse - Organic: garden waste - Composting</t>
  </si>
  <si>
    <t>UK Government (BEIS) Greenhouse gas reporting: conversion factors (2023) - Waste disposal - Refuse - Household residual waste - Combustion</t>
  </si>
  <si>
    <t>UK Government (BEIS) Greenhouse gas reporting: conversion factors (2023) - Waste disposal - Plastic - Plastics: average plastics - Recycled - Closed-loop</t>
  </si>
  <si>
    <t>UK Government (BEIS) Greenhouse gas reporting: conversion factors (2023) - Waste disposal - Plastic - Plastics: average plastics - Combustion</t>
  </si>
  <si>
    <t>UK Government (BEIS) Greenhouse gas reporting: conversion factors (2023) - Waste disposal - Paper - Paper and board: mixed - Recycled - Closed-loop</t>
  </si>
  <si>
    <t>UK Government (BEIS) Greenhouse gas reporting: conversion factors (2023) - Waste disposal - Paper - Paper and board: mixed - Combustion</t>
  </si>
  <si>
    <t>UK Government (BEIS) Greenhouse gas reporting: conversion factors (2023) - Waste disposal - Electrical Items - Metal: scrap metal - Recycled - Closed-loop</t>
  </si>
  <si>
    <t>UK Government (BEIS) Greenhouse gas reporting: conversion factors (2023) - Waste disposal - Electrical Items - WEEE - Mixed - Recycled - Open-loop</t>
  </si>
  <si>
    <t>UK Government (BEIS) Greenhouse gas reporting: conversion factors (2023) - Waste disposal - Construction - Aggregates - Recycled - Closed-loop</t>
  </si>
  <si>
    <t>UK Government (BEIS) Greenhouse gas reporting: conversion factors (2023) - Waste disposal - Construction - Asbestos - Landfill</t>
  </si>
  <si>
    <t>UK Government (BEIS) Greenhouse gas reporting: conversion factors (2023) - Waste disposal - Construction - Bricks - Recycled - Open-loop</t>
  </si>
  <si>
    <t>UK Government (BEIS) Greenhouse gas reporting: conversion factors (2023) - Waste disposal - Construction - Bricks - Landfill</t>
  </si>
  <si>
    <t>UK Government (BEIS) Greenhouse gas reporting: conversion factors (2023) - Waste disposal - Construction - Insulation - Landfill</t>
  </si>
  <si>
    <t>UK Government (BEIS) Greenhouse gas reporting: conversion factors (2023) - Waste disposal - Construction - Metals - Recycled - Closed-loop</t>
  </si>
  <si>
    <t>UK Government (BEIS) Greenhouse gas reporting: conversion factors (2023) - Waste disposal - Construction - Soils - Recycled - Closed-loop</t>
  </si>
  <si>
    <t>UK Government (BEIS) Greenhouse gas reporting: conversion factors (2023) - Waste disposal - Construction - Mineral oil - Recycled - Closed-loop</t>
  </si>
  <si>
    <t>UK Government (BEIS) Greenhouse gas reporting: conversion factors (2023) - Waste disposal - Construction - Plasterboard - Recycled - Closed-loop</t>
  </si>
  <si>
    <t>UK Government (BEIS) Greenhouse gas reporting: conversion factors (2023) - Waste disposal - Construction - Tyres - Recycled - Closed-loop</t>
  </si>
  <si>
    <t>UK Government (BEIS) Greenhouse gas reporting: conversion factors (2023) - Waste disposal - Construction - Wood - Recycled - Closed-loop</t>
  </si>
  <si>
    <t>UK Government (BEIS) Greenhouse gas reporting: conversion factors (2023) - WTT - Bioenergy - WTT Biogas - Biogas - kWh</t>
  </si>
  <si>
    <t>UK Government (BEIS) Greenhouse gas reporting: conversion factors (2023) - WTT - Bioenergy - WTT - Biomass - Wood Pellets</t>
  </si>
  <si>
    <t>UK Government (BEIS) Greenhouse gas reporting: conversion factors (2023) - WTT - Bioenergy - WTT -  Biomass - Wood logs</t>
  </si>
  <si>
    <t>UK Government (BEIS) Greenhouse gas reporting: conversion factors (2023) - WTT - Bioenergy - WTT - Biomass -  Wood chips</t>
  </si>
  <si>
    <t>UK Government (BEIS) Greenhouse gas reporting: conversion factors (2023) - WTT - Bioenergy - WTT - Biofuel - Bioethanol - GJ</t>
  </si>
  <si>
    <t>UK Government (BEIS) Greenhouse gas reporting: conversion factors (2023) - WTT - Bioenergy - WTT - Biofuel - Biodiesel ME - GJ</t>
  </si>
  <si>
    <t>UK Government (BEIS) Greenhouse gas reporting: conversion factors (2023) - WTT - Bioenergy - WTT - Biofuel HVO - GJ</t>
  </si>
  <si>
    <t>UK Government (BEIS) Greenhouse gas reporting: conversion factors (2023) - WTT - Delivery vehs and Freight - WTT - freight flights - Domestic, to/from UK - with RF</t>
  </si>
  <si>
    <t>UK Government (BEIS) Greenhouse gas reporting: conversion factors (2023) - WTT - Delivery vehs and Freight - WTT - freight flights - Short-haul, to/from UK - with RF</t>
  </si>
  <si>
    <t>UK Government (BEIS) Greenhouse gas reporting: conversion factors (2023) - WTT - Delivery vehs and Freight - WTT - freight flights - Long-haul, to/from UK - with RF</t>
  </si>
  <si>
    <t>UK Government (BEIS) Greenhouse gas reporting: conversion factors (2023) - WTT - Delivery vehs and Freight - WTT - freight flights - International, to/from non-UK - with RF</t>
  </si>
  <si>
    <t>UK Government (BEIS) Greenhouse gas reporting: conversion factors (2023) - WTT - Delivery vehs and Freight - WTT - HGV (all diesel) - Diesel - Rigid (&gt;3.5 - 7.5 tonnes) - Average Laden</t>
  </si>
  <si>
    <t>UK Government (BEIS) Greenhouse gas reporting: conversion factors (2023) - WTT - Delivery vehs and Freight - WTT - HGV (all diesel) - Diesel - Rigid (&gt;7.5 tonnes-17 tonnes) - Average Laden</t>
  </si>
  <si>
    <t>UK Government (BEIS) Greenhouse gas reporting: conversion factors (2023) - WTT - Delivery vehs and Freight - WTT - HGV (all diesel) - Diesel - Rigid (&gt;17 tonnes) - Average Laden</t>
  </si>
  <si>
    <t>UK Government (BEIS) Greenhouse gas reporting: conversion factors (2023) - WTT - Delivery vehs and Freight - WTT - HGV (all diesel) - Diesel - All rigids - Average Laden</t>
  </si>
  <si>
    <t>UK Government (BEIS) Greenhouse gas reporting: conversion factors (2023) - WTT - Delivery vehs and Freight - WTT - HGV (all diesel) - Diesel - Articulated (&gt;3.5 - 33t) - Average Laden</t>
  </si>
  <si>
    <t>UK Government (BEIS) Greenhouse gas reporting: conversion factors (2023) - WTT - Delivery vehs and Freight - WTT - HGV (all diesel) - Diesel - Articulated (&gt;33t) - Average Laden</t>
  </si>
  <si>
    <t>UK Government (BEIS) Greenhouse gas reporting: conversion factors (2023) - WTT - Delivery vehs and Freight - WTT - HGV (all diesel) - Diesel - All artics - Average Laden</t>
  </si>
  <si>
    <t>UK Government (BEIS) Greenhouse gas reporting: conversion factors (2023) - WTT - Delivery vehs and Freight - WTT - HGV (all diesel) - Diesel - All HGVs - Average Laden</t>
  </si>
  <si>
    <t>UK Government (BEIS) Greenhouse gas reporting: conversion factors (2023) - WTT - Delivery vehs and Freight - WTT - cargo ship - Crude tanker - Average</t>
  </si>
  <si>
    <t>UK Government (BEIS) Greenhouse gas reporting: conversion factors (2023) - WTT - Delivery vehs and Freight - WTT - cargo ship - Products tanker - Average</t>
  </si>
  <si>
    <t>UK Government (BEIS) Greenhouse gas reporting: conversion factors (2023) - WTT - Delivery vehs and Freight - WTT - cargo ship - Chemical tanker - Average</t>
  </si>
  <si>
    <t>UK Government (BEIS) Greenhouse gas reporting: conversion factors (2023) - WTT - Delivery vehs and Freight - WTT - cargo ship - LNG tanker - Average</t>
  </si>
  <si>
    <t>UK Government (BEIS) Greenhouse gas reporting: conversion factors (2023) - WTT - Delivery vehs and Freight - WTT - cargo ship - LPG tanker - Average</t>
  </si>
  <si>
    <t>UK Government (BEIS) Greenhouse gas reporting: conversion factors (2023) - WTT - Delivery vehs and Freight - WTT - cargo ship - Bulk carrier - Average</t>
  </si>
  <si>
    <t>UK Government (BEIS) Greenhouse gas reporting: conversion factors (2023) - WTT - Delivery vehs and Freight - WTT - cargo ship - General cargo - Average</t>
  </si>
  <si>
    <t>UK Government (BEIS) Greenhouse gas reporting: conversion factors (2023) - WTT - Delivery vehs and Freight - WTT - cargo ship - Container ship - Average</t>
  </si>
  <si>
    <t>UK Government (BEIS) Greenhouse gas reporting: conversion factors (2023) - WTT - Delivery vehs and Freight - WTT - cargo ship - Vehicle transport - Average</t>
  </si>
  <si>
    <t>UK Government (BEIS) Greenhouse gas reporting: conversion factors (2023) - WTT - Delivery vehs and Freight - WTT - cargo ship - RoRo-Ferry - Average</t>
  </si>
  <si>
    <t>UK Government (BEIS) Greenhouse gas reporting: conversion factors (2023) - WTT - Delivery vehs and Freight - WTT - cargo ship - Large RoPax ferry - Average</t>
  </si>
  <si>
    <t>UK Government (BEIS) Greenhouse gas reporting: conversion factors (2023) - WTT - Delivery vehs and Freight - WTT - cargo ship - Refrigerated cargo - All dwt</t>
  </si>
  <si>
    <t>UK Government (BEIS) Greenhouse gas reporting: conversion factors (2023) - WTT - Delivery vehs and Freight - WTT - vans - Average (up to 3.5. tonnes) - Diesel</t>
  </si>
  <si>
    <t>UK Government (BEIS) Greenhouse gas reporting: conversion factors (2023) - WTT - Delivery vehs and Freight - WTT - vans - Average (up to 3.5. tonnes) - Petrol</t>
  </si>
  <si>
    <t>UK Government (BEIS) Greenhouse gas reporting: conversion factors (2023) - WTT - Delivery vehs and Freight - WTT - vans - Average (up to 3.5. tonnes) - CNG</t>
  </si>
  <si>
    <t>UK Government (BEIS) Greenhouse gas reporting: conversion factors (2023) - WTT - Delivery vehs and Freight - WTT - vans - Average (up to 3.5. tonnes) - LPG</t>
  </si>
  <si>
    <t>UK Government (BEIS) Greenhouse gas reporting: conversion factors (2023) - WTT - Delivery vehs and Freight - WTT - vans - Average (up to 3.5. tonnes) - Unknown</t>
  </si>
  <si>
    <t>UK Government (BEIS) Greenhouse gas reporting: conversion factors (2023) - WTT - Delivery vehs and Freight - WTT - vans - Average (up to 3.5. tonnes) - Battery Electric Vehicle</t>
  </si>
  <si>
    <t>UK Government (BEIS) Greenhouse gas reporting: conversion factors (2023) - WTT - Business Travel - WTT - flights - air - Domestic, to/from UK - Average passenger - with RF</t>
  </si>
  <si>
    <t>UK Government (BEIS) Greenhouse gas reporting: conversion factors (2023) - WTT - Business Travel - WTT - flights - air - Short-haul - to/from UK - Average passenger - with RF</t>
  </si>
  <si>
    <t>UK Government (BEIS) Greenhouse gas reporting: conversion factors (2023) - WTT - Business Travel - WTT - flights - air - Short-haul - to/from UK - Economy class - with RF</t>
  </si>
  <si>
    <t>UK Government (BEIS) Greenhouse gas reporting: conversion factors (2023) - WTT - Business Travel - WTT - flights - air - Short-haul - to/from UK - Business class - with RF</t>
  </si>
  <si>
    <t>UK Government (BEIS) Greenhouse gas reporting: conversion factors (2023) - WTT - Business Travel - WTT - flights - air - Long-haul - to/from UK - Average passenger - with RF</t>
  </si>
  <si>
    <t>UK Government (BEIS) Greenhouse gas reporting: conversion factors (2023) - WTT - Business Travel - WTT - flights - air - Long-haul - to/from UK - Economy class - with RF</t>
  </si>
  <si>
    <t>UK Government (BEIS) Greenhouse gas reporting: conversion factors (2023) - WTT - Business Travel - WTT - flights - air - Long-haul - to/from UK - Premium economy class - with RF</t>
  </si>
  <si>
    <t>UK Government (BEIS) Greenhouse gas reporting: conversion factors (2023) - WTT - Business Travel - WTT - flights - air - Long-haul - to/from UK - Business class - with RF</t>
  </si>
  <si>
    <t>UK Government (BEIS) Greenhouse gas reporting: conversion factors (2023) - WTT - Business Travel - WTT - flights - air - Long-haul - to/from UK - First class - with RF</t>
  </si>
  <si>
    <t>UK Government (BEIS) Greenhouse gas reporting: conversion factors (2023) - WTT - Business Travel - WTT - flights - air - International, to/from non-UK - Average passenger - with RF</t>
  </si>
  <si>
    <t>UK Government (BEIS) Greenhouse gas reporting: conversion factors (2023) - WTT - Business Travel - WTT - flights - air - International, to/from non-UK - Economy class - with RF</t>
  </si>
  <si>
    <t>UK Government (BEIS) Greenhouse gas reporting: conversion factors (2023) - WTT - Business Travel - WTT - flights - air - International, to/from non-UK - Premium economy class - with RF</t>
  </si>
  <si>
    <t>UK Government (BEIS) Greenhouse gas reporting: conversion factors (2023) - WTT - Business Travel - WTT - flights - air - International, to/from non-UK - Business class - with RF</t>
  </si>
  <si>
    <t>UK Government (BEIS) Greenhouse gas reporting: conversion factors (2023) - WTT - Business Travel - WTT - flights - air - International, to/from non-UK - First class - with RF</t>
  </si>
  <si>
    <t>UK Government (BEIS) Greenhouse gas reporting: conversion factors (2023) - WTT - Business Travel - WTT - ferry - sea - Foot passenger</t>
  </si>
  <si>
    <t>UK Government (BEIS) Greenhouse gas reporting: conversion factors (2023) - WTT - Business Travel - WTT - ferry - sea - Car passenger</t>
  </si>
  <si>
    <t>UK Government (BEIS) Greenhouse gas reporting: conversion factors (2023) - WTT - Business Travel - WTT - ferry - sea - Average (all passenger)</t>
  </si>
  <si>
    <t>UK Government (BEIS) Greenhouse gas reporting: conversion factors (2023) - WTT - Passenger vehs &amp; travel - WTT - cars (by size) - land - Diesel</t>
  </si>
  <si>
    <t>UK Government (BEIS) Greenhouse gas reporting: conversion factors (2023) - WTT - Passenger vehs &amp; travel - WTT - cars (by size) - land - Petrol</t>
  </si>
  <si>
    <t>UK Government (BEIS) Greenhouse gas reporting: conversion factors (2023) - WTT - Passenger vehs &amp; travel - WTT - cars (by size) - land - Hybrid</t>
  </si>
  <si>
    <t>UK Government (BEIS) Greenhouse gas reporting: conversion factors (2023) - WTT - Passenger vehs &amp; travel - WTT - cars (by size) - land - CNG</t>
  </si>
  <si>
    <t>UK Government (BEIS) Greenhouse gas reporting: conversion factors (2023) - WTT - Passenger vehs &amp; travel - WTT - cars (by size) - land - LPG</t>
  </si>
  <si>
    <t>UK Government (BEIS) Greenhouse gas reporting: conversion factors (2023) - WTT - Passenger vehs &amp; travel - WTT - cars (by size) - land - Unknown</t>
  </si>
  <si>
    <t>UK Government (BEIS) Greenhouse gas reporting: conversion factors (2023) - WTT - Passenger vehs &amp; travel - WTT - cars (by size) - land - Plug-in Hybrid Electric Vehicle</t>
  </si>
  <si>
    <t>UK Government (BEIS) Greenhouse gas reporting: conversion factors (2023) - WTT - Passenger vehs &amp; travel - WTT - cars (by size) - land - Battery Electric Vehicle</t>
  </si>
  <si>
    <t>UK Government (BEIS) Greenhouse gas reporting: conversion factors (2023) - WTT - Passenger vehs &amp; travel - WTT - motorbike - land - Average motorbike</t>
  </si>
  <si>
    <t>UK Government (BEIS) Greenhouse gas reporting: conversion factors (2023) - WTT - Passenger vehs &amp; travel - WTT - taxis - land - Regular taxi</t>
  </si>
  <si>
    <t>UK Government (BEIS) Greenhouse gas reporting: conversion factors (2023) - WTT - Passenger vehs &amp; travel - WTT - bus - land - Average local bus</t>
  </si>
  <si>
    <t>UK Government (BEIS) Greenhouse gas reporting: conversion factors (2023) - WTT - Passenger vehs &amp; travel - WTT - bus - land - Coach</t>
  </si>
  <si>
    <t xml:space="preserve">UK Government (BEIS) Greenhouse gas reporting: conversion factors (2023) - WTT - Fuels - Liquid fuels - Gas Oil </t>
  </si>
  <si>
    <t xml:space="preserve">UK Government (BEIS) Greenhouse gas reporting: conversion factors (2023) - WTT - Fuels - Liquid fuels - Fuel Oil </t>
  </si>
  <si>
    <t xml:space="preserve">UK Government (BEIS) Greenhouse gas reporting: conversion factors (2023) - WTT - Fuels - Liquid fuels - Kerosene </t>
  </si>
  <si>
    <t xml:space="preserve">UK Government (BEIS) Greenhouse gas reporting: conversion factors (2023) - WTT - Fuels - Liquid fuels - LPG </t>
  </si>
  <si>
    <t xml:space="preserve">UK Government (BEIS) Greenhouse gas reporting: conversion factors (2023) - WTT - Fuels - Liquid fuels - Propane </t>
  </si>
  <si>
    <t xml:space="preserve">UK Government (BEIS) Greenhouse gas reporting: conversion factors (2023) - WTT - Fuels - Liquid fuels -Butane </t>
  </si>
  <si>
    <t xml:space="preserve">UK Government (BEIS) Greenhouse gas reporting: conversion factors (2023) - WTT - Fuels - Liquid fuels -Waste Oils </t>
  </si>
  <si>
    <t xml:space="preserve">UK Government (BEIS) Greenhouse gas reporting: conversion factors (2023) - WTT - Fuels - Liquid fuels - Diesel (100% mineral diesel) </t>
  </si>
  <si>
    <t xml:space="preserve">UK Government (BEIS) Greenhouse gas reporting: conversion factors (2023) - WTT - Fuels - Liquid fuels - Processed fuel oils (residual oil) </t>
  </si>
  <si>
    <t xml:space="preserve">UK Government (BEIS) Greenhouse gas reporting: conversion factors (2023) - WTT - Fuels - Liquid fuels - Petrol (100% mineral petrol) </t>
  </si>
  <si>
    <t xml:space="preserve">UK Government (BEIS) Greenhouse gas reporting: conversion factors (2023) - WTT - Fuels - Liquid fuels - Aviation Gas </t>
  </si>
  <si>
    <t xml:space="preserve">UK Government (BEIS) Greenhouse gas reporting: conversion factors (2023) - WTT - Fuels - Liquid fuels - Aviation Turbine Fuel </t>
  </si>
  <si>
    <t xml:space="preserve">UK Government (BEIS) Greenhouse gas reporting: conversion factors (2023) - WTT - Fuels - Liquid fuels - Marine Gas Oil </t>
  </si>
  <si>
    <r>
      <t>Føroyskur CO</t>
    </r>
    <r>
      <rPr>
        <sz val="8"/>
        <rFont val="Calibri"/>
        <family val="2"/>
        <scheme val="minor"/>
      </rPr>
      <t>2</t>
    </r>
    <r>
      <rPr>
        <sz val="11"/>
        <rFont val="Calibri"/>
        <family val="2"/>
        <scheme val="minor"/>
      </rPr>
      <t>-roknari. Ár: 2023</t>
    </r>
  </si>
  <si>
    <t>Denmark National Inventory Report (2022)</t>
  </si>
  <si>
    <t>Annika L. Jensen</t>
  </si>
  <si>
    <t>Improvement in the 2023 version</t>
  </si>
  <si>
    <t>AR4--&gt;AR5</t>
  </si>
  <si>
    <t>Simplify the Source Date ref</t>
  </si>
  <si>
    <t>EF updated</t>
  </si>
  <si>
    <t>In Organization Details: 10 row added</t>
  </si>
  <si>
    <t>Removed text about Beta version</t>
  </si>
  <si>
    <t>Útgáva 2023-1</t>
  </si>
  <si>
    <t>Version 2023-1</t>
  </si>
  <si>
    <t>Please report any issues to Umhvørvisstovan.</t>
  </si>
  <si>
    <t>Útlát frá brenning av føstum, flótandi ella luftvorðnum brennievni, vanliga í sambandi við at framleiða el-, damp- ella hita. Til dømis at brenna  gass, olju ella  kol í generatori, oljufýri ella aðrari útgerð, sum leiðir vakstrarhúsgass út í lofthavið.</t>
  </si>
  <si>
    <t>Útlát frá brennievni, brúkt í akførum, sum fyritøkan eigur ella leigar.</t>
  </si>
  <si>
    <t>Útlát frá lekum á køli- og luftskiftisskipanum, røkt og burturbeining av hesum skipanum</t>
  </si>
  <si>
    <t xml:space="preserve">Starvsfólk, ferðing til og frá arbeiði </t>
  </si>
  <si>
    <t>Flutningur og útkoyring av vørum, ið fyritøkan hevur keypt í fráboðanarárinum, millum høvuðsveitarar og virki fyritøkunnar (í akførum og hølum, sum fyritøkan ikki eigur ella hevur ræði á).
Flutningur og útkoyring av tænastum, ið fyritøkan hevur keypt í fráboðanarárinum, harímillum innkomandi logistikk og útfarandi logistikk (t.d. av seldum vørum), og flutningur og útbering millum egin høli (í akførum og hølum, sum fyritøkan ikki eigur ella hevur ræði á).</t>
  </si>
  <si>
    <t>Útlát sum stavar frá framleiðslu av brennievni og orku, ið fyritøkan hevur keypt og brúkt í fráboðanarárinum, sum ikki er fevnt av Vav 1 ella 2 (t.d. útlát frá el-leiðing og -veiting og frá flutningi av brennievni frá keldu til tanga).
GG! Roknarin roknar sjálvvirkandi hetta útlát á ymsum rokniørkum. Brúkarin skal ikki tøppa dátur inn.</t>
  </si>
  <si>
    <t>Burturbeining og viðgerð av burturkasti frá virksemi hjá fyritøkuni í fráboðanarárinum (í hølum, sum fyritøkan ikki eigur ella hevur ræði á).</t>
  </si>
  <si>
    <t>Útlát frá flutningi av starvsfólki í arbeiðsørindum/tænastuferðum, í akførum, sum triði partur eigur ella rekur, til dømis flogførum, bussum og bilum.</t>
  </si>
  <si>
    <t>Útlát, sum stavar frá flutningi av starvsfólki millum bústað teirra og arbeiðsplássið.</t>
  </si>
  <si>
    <t>1. Set inn upplýsingar um fyritøkuna í skiljiarkið 'Fyritøkuupplýsingar'
2. Fyri at rokna útlátið, skal brúkarin seta dátur um virksemi fyritøkunnar í øll skiljiørkini. Ymiskt er, hvørjar dátur eru kravdar á einstøku skiljiørkunum. Fyri at lætta um, er vegleiðing um hvørjar dátur eru kravdar fyri at rokna útlát, sett ovast á hvørjum skiljiarki.
3. Tá ið brúkarin hevur savnað dáturnar um virksemið hjá fyritøkuni, kann hann/hon seta tær inn í hvørt skiljiarkið og rokna útlátið (í tonsum av CO2 eindum). Fyri at sleppa undan villum, eiga talvurnar á hvørjum skiljiarki at verða fyltar út úr vinstru yvir í høgru. Neyvari vegleiðing til roknihættir fyri hvørt arkið er ovast á hvørjum arki.
GG! Til útrokningarnar nýtir roknarin útlátsvirði frá ymiskum dátukeldum, sum eru lýstar í teiginum 'Útlátsfaktorar' niðanfyri.
4. Útlátið (í tonsum av CO2 eindum) verður roknað fyri hvørja rekkju av dátum á hvørjum arki. Samanlagda talið sæst niðast á hvørjum arki. Samandráttur av vav/slagi av virksemi er í teiginum 'Samandráttur'.</t>
  </si>
  <si>
    <t>Scope 3 - Upstream Transportation and Distribution considers fuel consumption by company-financed vehicles used to conduct transportation and distribution upstream within the company value chain. The User should collect fuel consumption or distance to site of transport types within its upstream supply chain.
Data Required:
• Facility/Asset and Location (transport destination) 
• Operations (for where transport is required) 
• Raw data type (Fuel use (energy) data or distances)
• Transport type
• Emissions source
• Amount of fuel use/distance travelled
• Unit of fuel use/distance travelled
Note: 
• The selected raw data type, 'Distance' or 'Fuel Use' will impact the transport type and emissions sources available. This is due to the emission factor source data acquired.
• Tonne.km - An equivalent measure of one tonne of transported goods over one km.  The tonne.km units must be applied to the ‘product’ of the tonnes of goods freighted and the km travel. The km figures are for whole vehicles used to carry freight, and so account for the whole vehicle.
• Tonnes = 1000kg.
• The kWh value for all fuels from BEIS 2023 Conversion Factors are Gross Calorific Value (Gross CV).</t>
  </si>
  <si>
    <t>Scope 3 - Downstream Transportation and Distribution considers fuel consumption by company-financed vehicles used to conduct transportation and distribution downstream within the company value chain. The User should collect fuel consumption or distance to site of transport types within its upstream within its supply chain.
Data Required:
• Facility/Asset and Location (where transport originates)
• Operations (for where transport is required)
• Raw data type (Fuel Use (energy) data or Distances)
• Transport type
• Emissions source
• Amount of fuel use/distance travelled
• Unit of fuel use/distance travelled
Note:
• The selected raw data type, 'Distance' or 'Fuel Use' will impact the transport type and emissions sources available. This is due to the emission factor source data acquired.
• Tonne.km - An equivalent measure of one tonne of transported goods over one km.  The tonne.km units must be applied to the ‘product’ of the tonnes of goods freighted and the km travel. The km figures are for whole vehicles used to carry freight, and so account for the whole vehicle.
• Tonnes = 1000kg.
• The kWh value for all fuels from BEIS 2023 Conversion Factors are Gross Calorific Value (Gross CV).</t>
  </si>
  <si>
    <t>Vav 3 - Liðugvøruflutningur og -veiting fevnir um brennievnisnýtslu hjá akførum, ið eru fíggjað av fyritøkuni og nýtt til liðugvøruflutning og -veiting í virðisketu fyritøkunnar. Brúkarin skal savna dátur um brennievnisnýtslu ella um teinin millum veitara og móttakara í liðugvøruvirðisketuni. Somuleiðis skal flutningsslag skrásetast (t.d. flogflutnigur, tung akfør o.s.fr.).
Kravdar dátur:
• Høli/ogn og staðseting (haðan flutningurin fer)
• Virksemi (í sambandi við flutning)
• Slag av dátum (Brennievnisnýtsla (orka) ella teinur).
• Flutningsháttur
• Útlátskelda
• Brennievnisnøgd nýtt/flutningsteinur tils.
• Eind fyri Brennievnisnøgd/flutningsteinur 
GG:
• Vegna útvegaðu dáturnar um útlátsvirðiskeldur verður valda slagið av dátum, 'Teinur' ella 'Brennievni', avgerandi fyri, hvørji sløg av flutningi og hvørjar útlátskeldur eru tøkar.
• Tons.km - Mát, ið svarar til flutning á ein km av einum tonsi av vørum. Eindin tons.km skal setast á ‘vøruna’ av fluttum tonsum av vørum og á kilometrarnar, ið ferðast verður. Km-tølini sipa til heil akfør, ið eru brúkt til flutning og telja sostatt fyri alt akfarið.
• Tons = 1000 kg
• kWh virðini fyri øll brennievni frá BEIS 2023 Conversions Factors eru Gross Calorific virði (Gross CV).</t>
  </si>
  <si>
    <t>To calculate emissions (tonnes of carbon dioxide equivalent), the Calculator uses emission factors acquired from the following data sources (in order of first principles based on availability of emission factors): 
•  Faroe Islands emission factors (2023)
•  Denmark National Inventory Report (2022)
•  UK BEIS GHG Conversion Factors (2023)
Details of the specific emission factor used for activity data input are available on each sheet under 'Emission Factor Source'.</t>
  </si>
  <si>
    <t>Scope 1 - Fuels (Stationary Combustion) considers fuel consumption used to produce electricity, heat, steam or power . This includes the combustion of fossil fuels by generators, gas boilers, and any other plant equipment that emits GHGs into the atmosphere. The user should collect fuel combusted data within their stationary sources (e.g. plants, generator use). 
Data Required:
• Facility/Asset and Location (where fuel is combusted)
• Operations (for which fuel is combusted)
• Fuel combusted
• Emission factor category (if unknown, select 'Default')
• Amount of fuel combusted         
• Units of fuel combusted
Note:
• Tonnes = 1000kg.
• 'Emission Factor Category' are as defined by the emission factor sources. These are emission factors specific to fuel combustion within various sectors. If the emission factor category is unknown, please select 'Default'. 
• The kWh value for all fuels from BEIS 2023 Conversion Factors are Gross Calorific Value (Gross CV).</t>
  </si>
  <si>
    <t>• kWh virðini fyri øll brennievni frá BEIS 2023 Conversions Factors eru Gross Calorific virði (Gross CV).</t>
  </si>
  <si>
    <t>Emissions calculated for Example Faroes Organisation for 2023 annual year reporting. 
There are assumptions made on the employee commuting data. This data was not readily available and so is assumed based on headcount.
We are also missing 3 months of business travel data. This data is estimated based on the average monthly business travel data for the first 9 months of the year. We are searching for this data currently, and so the Calculator will be updated once received.</t>
  </si>
  <si>
    <t>Samantvinnað</t>
  </si>
  <si>
    <t>Útlátsfaktorur - bólkur</t>
  </si>
  <si>
    <t>Fasilitetur/Ogn og staðseting</t>
  </si>
  <si>
    <t>Væntað verður, at fyritøkur fráboða Vav 1, 2 og 3 útlát árliga og at uppgerðin fylgir altjóða standardinum 'GHG Protocol Corporate Standard'. Sí leinkini undir 'Viðkomandi vegleiðingar" fyri at fáa fleiri upplýsingar um 'GHG Protocol Corporate Standard'.
CO2-roknarin er fingin til vega av Umhvørvisstovuni fyri at hjálpa føroyskum fyritøkum at fráboða útlát av vakstrarhúsgassi frá Vav 1, 2 og 3.
• Vav 1 er útlát frá keldum, ið fyritøka tín eigur ella hevur ræði á.
• Vav 2 er útlát, ið fyritøka tín óbeinleiðis elvir til, tá ið orkan, ið fyritøkan keypir og nýtir, verður framleidd.
• Vav 3 er útlát, ið ikki verður framleitt av fyritøku tíni, men av fyritøkum í virðisketu tykkara.
CO2-roknarin er rokniamboð at rokna útlát frá Vav 1 og 2 og ávísum útlátsbólkum fra Vav 3. Útlátsbólkarnir eru lýstir í  'GHG Protocol-Vav í CO2-roknara' niðanfyri.
CO2-roknarin hevur eitt skiljiark fyri hvønn útlátsbólk, sum skal brúkast til at rokna útlátið. Fyri hvørt skiljiark, skal ein brúkari hjá fyritøkuni leggja dátur inn um virksemið hjá fyritøkuni. Vegleiðing til roknaran er í teiginum 'Nýtsluvegleiðing' niðanfyri.
Byrjað verður við skiljiarkinum vinstrumegin við 'Vav 1 - Brennievni (á ávísum stað)' og hildið verður fram til og við 'Vav 3 - Burturkast frá virkseminum'. Fyri at sleppa undan villum, eigur roknitalvan á hvørjum arki at verða fylt út úr vinstru yvir í høgru.
Samandráttur av útláti hjá fyritøkuni, býtt á vav og útlátsbólk, sæst í teiginum 'Samandráttur'.</t>
  </si>
  <si>
    <t>CO2-roknarin gevur fyritøkum møguleika at  rokna útlátið frá virksemi sínum innan hesi vav:</t>
  </si>
  <si>
    <t>Residual Oil</t>
  </si>
  <si>
    <t>Residual OilFishing Ships</t>
  </si>
  <si>
    <t>Suðuroy</t>
  </si>
  <si>
    <t>Residual oilFishing Ships</t>
  </si>
  <si>
    <t>Scope 3 - Waste generated in operations considers third-party disposal and treatment of waste generated in the organsiation's owned or controlled operations. Organisations should seek to provide the amount of waste disposed in their operations and the waste destination e.g. through their waste management contractors. 
Data Required:
• Facility/Asset and Location (where waste is generated)
• Operations (for where waste is generated)
• Waste Category
• Waste Destination
• Amount of waste
• Unit of waste measure
Note:
• Tonnes = 1000 kg</t>
  </si>
  <si>
    <t>Vav 3 - Starvsfólkaferðing fevnir um flutning av starvsfólki millum bústað og arbeiðsstað. Fyritøkur skulu boða frá samlaða ferðateini hjá starvsfólki í fráboðanarttðarskeiðnum (t.d. ferðafólk.km) og nýttum flutningshættum (t.d. tokum, bussum, bilum). Hesar dátur kunnu savnast gjøgnum spurnabløð ella metast eftir starvsfólkatali, miðalteini til arbeiðsstað og metingum um flutningshátt.
Kravdar dátur:
• Fasilitetur/ogn og staðseting (haðan ferðast verður) - valfrítt
• Virksemi (í sambandi við ferðing) - valfrítt
• Flutningsháttur
• Útlátskelda
• Ferðateinur tils.
• Eind fyri ferðatein
GG:
• Ferðafólk.km - Ferðateinur hjá hvørjum einstøkum ferðafólki við viðkomandi flutningshátti. Akfars-km-faktorur skulu setast á heil akfør (t.d. ein bil ella hýruvogn), ið verða brúkt til arbeiðsørindi. Ferðafólka-km-faktorar skulu brúkast, tá ið einstøk ferðafólk ferðast við samferðslu (t.d. toki), og málið er at boða frá útláti fyri hvønn einstakan persón, ikki fyri alt akfarið.</t>
  </si>
  <si>
    <t>Scope 1 - Fuels (Mobile Combustion) considers fuel consumption by vehicles that are owned or leased by the company e.g. light/heavy duty vehicles, cars, planes, fishing boats. This includes the combustion of fuels by mobile equipment emits GHGs into the atmosphere. The User should collect fuel use data by vehciles owned/leased by the company.
Data Required:
• Facility/Asset and Location (where fuel is combusted)
• Operations (for which fuel is combusted)
• Transport category
• Fuel combusted
• Amount of fuel combusted
• Units of fuel combusted
Note:
• Tonnes = 1000 kg
• As defined in the Denmark National Inventory report, heavy duty vehicles include trucks and tankers. Light duty vehicles include vans and motor homes. Passenger cars are cars lighter than 3500 kg. 
• The kWh value for all fuels from BEIS 2023 Conversion Factors are Gross Calorific Value (Gross CV).</t>
  </si>
  <si>
    <t>Útlát av vakstrarhúsgassi (tons av CO2e)</t>
  </si>
  <si>
    <t>EF added: Heavy Fuel Fishing Ships</t>
  </si>
  <si>
    <t>In Waste: 10 rows added</t>
  </si>
  <si>
    <t>row 71-90 id with 196-215 (ok to copy EFs)</t>
  </si>
  <si>
    <t>Row 105-109 identical with row 231-235. Ok to copy.</t>
  </si>
  <si>
    <t>Umhvørvisstovan - 2023</t>
  </si>
  <si>
    <t>New version (Updated from the 2022 version)</t>
  </si>
  <si>
    <t>Maria GH</t>
  </si>
  <si>
    <t>Útlát frá elorku, ið fyritøkan keypir.
Tá útlát frá elorku verður roknað, kann hesin parturin roknast við støði í  annaðhvørt 'marknaði'- ella 'staðseting'- rokniháttunum.
Útlátið, ið verður roknað í  'V2 - Keypt el' rokniarkinum, verður roknað við støði í 'staðseting'-rokniháttinum. Hesar útrokningar vísa miðalútlátið frá tí elnetinum, ið verður nýtt.
(A 'market-based' method reflects emissions from electricity that the organisation has purchased. This is not included within this Calculator. 'Marked-based' útrokningar fara ætlandi at vera partur av komandi útgávum av CO2-roknaranum).</t>
  </si>
  <si>
    <t>Hendan filan er einans til nýtslu hjá fyritøkuni, sum brúkar hana. Dátur verða ikki savnaðar av øðrum parti.
Umhvørvisstovan eigur øll rættindi til hesa fílu.
Hóast øll rímilig fyrilit eru tikin fyri at tryggja nøktandi neyvleika í innihaldinum, veitir Umhvørvisstovan onga trygd fyri neyvleikanum ella fullkomuleikanum av innihaldinum og ber onga skuld fyri einhvørjum skaða ella tapi, sum stavar frá nýtslu av ella áliti á hesa fílu ella upplýsingum, sum stava úr henni.
Henda fílan er einans til at fáa fram upplýsingar.
Upplýsing, sum er givin ella víst til í hesari fílu, kann á ongan hátt verða sædd sum ella føra til nýggj rættindi ella skyldur.
CO2-roknarin fevnir bert um hesi Vav/útlátsbólkar:
  Vav 1 - Brenning á føstum skipanum, brenning á flytførum skipanum og nýtsla av kølievni
  Vav 2 - Elnýtsla og fjarhiti
  Vav 3 - Rávøru-/liðugvøruflutningur, arbeiðsferðing, starvsfólkaferðing og virksemi tengt at brennievni og orku (síðstnevnda verður roknað sjálvvirkið).
CO2-roknarin fevnir sostatt ikki um allar útlátskeldur, ið eru viðkomandi fyri virðisketuna hjá fyritøkum, hetta serliga orsakað av ymiskleika av tølum og høgt torleikastigi í útrokningum. Fyritøkur, sum ynska at rokna hesar útlátskeldur, mugu sjálvar standa fyri útrokningini ella biða onnur gera tað fyri seg. 
CO2-roknarin kann nýtast sum stuðulsamboð til at fráboða útlát av vakstrarhúsgassi. 
GG! Umhvørvisstovan hevur ikki ábyrgd av tølunum, sum verða fráboðað, og tí verður mælt brúkarum til at seta seg væl inn í útlátsútrokningarnar og útlátsfaktorarnar, áðrenn fráboðað verður.</t>
  </si>
  <si>
    <t>Inngangur til CO2-roknara, sæð í størri høpi og vegleiðing um vavini í  'GHG Protocollini', nýtsluvegleiðing, útlátsfaktorar og hvørji vakstrarhúsgass eru umfatað av roknaranum.</t>
  </si>
  <si>
    <t>Á hesum arki skal brúkarin inntøppa upplýsingar um fyritøkuna, brúkaranavn og høli/staðsetingar hjá fyritøkuni.</t>
  </si>
  <si>
    <t>Útrokningar útláti sum stavar frá nýtslu av brennievni í sambandi við el-, hita-, damp- ella orkuframleiðslu. Hetta fevnir um brenning av gassi, olju ella koli í generatorum, oljufýrum ella aðrari útgerð, sum letur vakstrarhúsgass út í lofthavið.</t>
  </si>
  <si>
    <t>Útlátsútrokningar av brennievnisnýtslu hjá akførum, ið fyritøkan eigur ella leigar, t.d. løttum/tungum akførum, bilum, lastbilum, flogførum, fiskiførum. Hetta fevnir um brennievnisnýtslu í flytførari (mobilari) útgerð, sum letur vakstrarhúsgass út í lofthavið.</t>
  </si>
  <si>
    <t>Á hesum arki skal brúkarin tøppa navn á fyritøku, slag av fráboðanarári (ár/fíggjarár), brúkaranavn og høli/ognir hjá fyritøkuni eftir staðseting.
Gev gætur:
• Teigarnir 'Fyritøka' og 'Fráboðanarár' verða brúktir í samandráttinum.
• Tú kanst velja 'Alt' fyri fasilitet/ogn og staðseting. Tá kanst tú rokna útlát uttan tilknýti til ávísan fasilitet/ogn, t.d. arbeiðsferðing og starvsfólkaferðing.
• Undantikið teigarnar 'Fyritøka' og 'Fasilitetir/ogn og staðseting' er restin av upplýsingunum her bert nevndir sum upplýsingar.
• Feløg við meira enn einari fyritøku (t.d. móðurfeløg) kunnu brúka teigin 'fasilitetir/ogn og staðseting' til at kortleggja sínar fasilitetir/ognir eftir staðseting. Í øðrum lagi kunnu tey brúka ein CO2-roknara til hvørja av sínum fyritøkum.
• Við leitingini 'Høli/ogn og staðseting' kanst tú velja ávísar fasilitetir/ognir í rokniørkunum eftir staðseting.</t>
  </si>
  <si>
    <t>Vav 1 - Brennievni (Brenning á føstum skipanum) fevnir um brennievnisnýtslu til at framleiða el, hita, damp, ella orku. Til dømis at brenna gass, olju ella kol í generatori, oljufýri ella aðrari útgerð, sum letur vakstrarhúsgass út í lofthavið. Brúkarin skal savna dátur um brenning í føstum keldum (t.d. maskinum og generatorum).
Kravdar dátur:
• Fasilitetur/ogn og staðseting (har brennievni verður brent)
• Virksemi (har brennievni verður brent)
• Brent brennievni
• Útlátsfaktorsbólkur (um ókendur, vel 'Sjálvgivin')
• Nøgd av brennievni, sum er brent
• Eind fyri brent brennievni
GG:
• Tons = 1000 kg
• 'Útlátsfaktorsbólkar' eru skilmarkaðir eftir keldunum til útlátsfaktorarnar. Hesir útlátfaktorar eru sermerkt fyri brenning av brennievnum innan ymsar geirar. Er útlátsvirðisbólkurin ókendur, vel so 'Default'. 
• kWh virðini fyri øll brennievni frá 'BEIS 2023 Conversions Factors' eru 'Gross Calorific virði (Gross CV)'.</t>
  </si>
  <si>
    <t>Vav 1 - Brennievni (brenning á flytførum eindum) fevnir um nýtslu av brennievni hjá akførum, ið fyritøkan eigur ella leigar, t.d. løttum/tungum akførum, bilum, flogførum, fiskiførum. Hetta fevnir um brennievnisnýtslu í flytførari útgerð, sum letur vakstrarhúsgass út í lofthavið. Brúkarin skal savna dátur um brennievnisnýtslu hjá akførum, ið fyritøkan eigur/leigar.
Kravdar dátur:
• Fasilitetur/ogn og staðseting (har brennievni verður brent)
• Virksemi (har brennievni verður brent í sambandi við)
• Flutningsbólkur
• Brent brennievni
• Nøgd av brennievnni, sum er brent
• Eind fyri brent brennievni
GG:
• Tons = 1000 kg
• Sum lýst í 'Denmarks National Inventory' frágreiðingini koma last- og tangabilar undir tung akfør, meðan vørubilar og húsvognar falla undir løtt akfør. Persónbilar eru lættari enn 3.500 kg. 
• kWh virðini fyri øll brennievni frá 'BEIS 2023 Conversions Factors' eru 'Gross Calorific virði (Gross CV)'.</t>
  </si>
  <si>
    <t xml:space="preserve">Vav 2 - Keypt el fevnir um el, ið er keypt frá SEV til nýtslu. Brúkarin skal savna dátur um elnýtslu í fasilitetum/ognum fyritøkunnar.
Kravdar dátur:
• Fasilitetur/ogn og staðseting (har el verður nýtt)
• Virksemi (sum nýtir el)
• Elframleiðandi kelda (um ókent, vel 'Default Faroese Weighted Average').
• Elnýtsla
• Eind fyri el
Gev gætur: útlát frá 'Well-To-tank' (WTT) og frá flutningi av og -veiting av el (T&amp;D) verður roknað út sjálvvirkið í talvuni 'Virksemi tengt at brennievni og orku'.
</t>
  </si>
  <si>
    <t>V2 - Fjarhiti, um viðkomandi, fevnir um útlát frá damp-, hita- og køliveiting gjøgnum netið. Brúkarin skal savna dátur um alla hitanýtslu í hølum/ognum fyritøkunnar.
Kravdar dátur:
• Fasilitetur/ogn og staðseting (har fjarhiting verður nýttur)
• Virksemi (har fjarhiti verður nýttur)
• Fjarhitakelda 
• Nøgd av fjarhita
• Eind fyri fjarhitanýtslu
GG:
• Útlátsfaktorur fyri fjarhita er í løtuni bert tøkur fyri Havnina. Útlátsfaktorar fyri onnur øki verða væntandi tøk í framtíðarútgávum av roknaranum, og so hvørt tørvur verður á tí. Í løtuni eru útlátsfaktorarnir fyri fjarhita í Tórshavn og 'Default' teir somu. Er talan um fjarhita í Havn, vel so  'Tórshavn' sum fjarhitakeldu. Er talan um økishiting uttan fyri Havnina, so vel 'Default' sum fjarhitakeldu.</t>
  </si>
  <si>
    <t xml:space="preserve">Vav 3 - Rávøruflutningur og -veiting fevnir um brennievnisnýtslu hjá akførum, ið eru fíggjað av fyritøkuni og nýtt til rávøruflutning og -veiting í virðisketu fyritøkunnar. Brúkarin skal antin seta inn tal fyri brennievnisnýtslu ella kenna teinin millum veitara og móttakara í rávøruvirðisketuni. Somuleiðis skal flutningsslag skrásetast (t.d. flogflutningur, tung akfør).
Kravdar dátur:
• Høli/ogn og staðseting (hagar flutningurin fer, endastøð)
• Virksemi (í sambandi við flutning)
• Slag av rádáta (brennisnýtsla ella teinur).
• Flutningsháttur
• Útlátskelda
• Brennievnisnøgd/flutningsteinur
• Eindir fyri brennievnisnøgd/flutningstein
GG:
• Vegna útvegaðu dáturnar um útlátsfaktorskeldur verður valda slagið av dátum, 'Teinur' ella 'Brennievni', avgerandi fyri, hvørji sløg av flutningi og hvørjar útlátskeldur eru tøkar.
• Tons.km - Mát, ið svarar til flutning av einum tonsi av vøru ein km. Eindin tons.km skal setast á ‘vøruna’ av fluttum tonsum av vørum og á kilometrarnar, ið ferðast verður. Km-tølini sipa til heil akfør, ið eru brúkt til flutning og telja sostatt fyri alt akfarið.
• Tons = 1000 kg
• kWh virðini fyri øll brennievni frá BEIS 2023 Conversions Factors eru Gross Calorific virði (Gross CV).
</t>
  </si>
  <si>
    <t>Vav í 'GHG Protocolini', sum hesin CO2-roknarin fevnir um:</t>
  </si>
  <si>
    <t>The Calculator uses the latest emission factors acquired from the following sources (in order of first principles based on availability of emission factors relative to Faroes activity data): 
•  Faroe Islands emission factors (2023)
•  Denmark National Inventory Report (2022)
•  UK BEIS GHG Conversion Factors (2023)
To provide a consistent metric, these are emissions are categorised as 'kg of carbon dioxide equivalent' or 'kgCO2e'. kgCO2e emissions include CO2, CH4 and N2O emissions and are calculated using AR5 global warming potentials (see 'Included Greenhouse Gases' below).
The sum of kgCO2e emissions in each sheet are divided by 1000 to produce 'tonnes of carbon dioxide equivalent' emissions.
Note, emission factors are often converted from the source unit to the User input unit (e.g. kgCO2e/GJ to kgCO2e/litres). These conversion factors are all sourced using UK BEIS GHG Conversion Factors (2023), with the exception of Biogas GJ or kWh to litres, which is sourced from Denmark Energy Statistics. The conversion factor should be taken into account e.g. if you are reporting your emissions externally.
Details of the specific emission factor used for activity data input are available in each sheet under 'Emission Factor Source'.</t>
  </si>
  <si>
    <t>CO2-roknarin nýtir nýggjastu útlátsfaktorar frá hesum keldum :
•  Føroyskir útlátsfaktorar (Umhvørvisstovan, 2023)
    www.us.fo
•  Danskir útlátsfaktorar (Aarhus Universitet, Institut for Miljøvidenskab, 2022) 
    https://envs.au.dk/en/research-areas/air-pollution-emissions-and-effects/air-emissions/emission-factors
•  Bretskar útlátsfaktorer (UK BEIS GHG Conversion Factors, 2023)
    https://www.gov.uk/government/publications/greenhouse-gas-reporting-conversion-factors-2023
Fyri at kunna samanbera útlát av øllum sløgum av vakstrarhúsgassi, verða útlát gjørt upp í 'kg av CO2 eindum' ella 'kgCO2e'. KgCO2e fevnur um útlát av CO2, CH4, og N2O, sum verður roknað við upphitingarvirði frá AR5 (IPCC, Assement Report no. 5) (sí 'Íroknað vakstrarhúsgass' niðanfyri).
Samanlagda útlátið í 'kg CO2e' á hvørjum arki verður deilt við 1000 fyri at fáa útlátið í 'tonsum av CO2 eindum'.
Neyvari lýsingar av ávísa útlátsfaktorinum, ið verður brúktur, eru á hvørjum einstøkum arki undir 'Útlátsfaktorkelda'.
Summurin av kg CO2e útlátinum í hvørjum rokniarki verður deilt við 1000 fyri at geva 'tons av CO2 eindum' útlát.
G.G.: 
Útlástfaktorarnir eru ofta umroknaðir frá eindum, sum keldan brúkar, til eindina, sum brúkarin setir inn (t.d. kg CO2e/GJ til kg CO2e/litur). Hesir umrokningarfaktorar stava frá "UK BEIS GHG Conversion Factors (2022)", undantikið Biogas GJ ella kWh til litrar, sum stava frá Energistyrelsen í Danmark.
Nærri upplýsingar um teir ávísu útlátsfaktorarnar, sum verða brúktir, síggjast á hvørjum einstakum rokniarki, undir 'Kelda Útlátsfaktorur'.</t>
  </si>
  <si>
    <t>Til at rokna útlát (tons av CO2 eindum) nýtir roknarin útlátsfaktorar frá hesum keldum:
•  Føroyskir útlátsfaktorar (Umhvørvisstovan, 2023)
•  Danskir útlátsfaktorar (Aarhus Universitet, Institut for Miljøvidenskab, 2022) 
•  Bretskar útlátsfaktorer (UK BEIS GHG Conversion Factors, 2023)
Neyvari lýsingar av einstøku útlátsfaktorunum, ið verða nýtt í virksemisdátunum, eru á hvørjum arki undir 'Útlátsfaktorkelda'.</t>
  </si>
  <si>
    <t>Virkiski 3 - Arbeiðsferðing fevnir um flutning av starvsfólki í arbeiðsørindum í akførum, sum triði partur eigur ella rekur, til dømis flogførum, tokum, bussum og bilum. Hesar dátur kunnu savnast gjøgnum innanhýsis skipanir ella ferðakort.
Kravdar dátur:
• Fasilitetur/ogn og staðseting (haðan ferðast verður)
• Virksemi (í sambandi við ferðing)
• Flutningsháttur
• Útlátskelda
• Ferðateinur tils.
• Eind fyri tein
GG:
• Ferðafólk.km - Ferðateinur hjá einstøkum ferðafólki við viðkomandi flutningshátti. Akfars-km-virði skulu setast á heil akfør (t.d. ein bil ella hýruvogn), ið verða brúkt til arbeiðsørindi. Ferðafólka-km-virði skulu brúkast, tá ið einstøk ferðafólk ferðast við samferðslu (t.d. toki), og málið er at boða frá útláti fyri hvønn einstakan persón, ikki fyri alt akfarið.
• Dáturnar fyri flogferðing eru frá bretsku BEIS útlátsfaktorunum, tí at ongar føroyskar dátur av hesum slag eru tøkar. Teinarnir, ið eru tøkir, og sum skulu brúkast eftir førimuni til føroyskt virksemi, eru:
      •Innlendisferðir: ferðir millum bretskar flogvøllir.
      •Stuttur teinur: altjóða ferðir til/úr Stórabretlandi, vanliga úr/til Evropa frá/til Stórabretland (í mesta lagi 3.700 km).
      •Langur teinur: altjóða ferðir til/úr Stórabretlandi, vanliga út um Evropa (meiri enn 3.700 km).
      •Altjóða ferðir til/úr øðrum londum (ikki Stórabretlandi).
• Til flogferðing, um ferðaflokkingin er ókend (t.d. business class, economy class), so vel 'miðal-ferðafólk'-flokkingina.</t>
  </si>
  <si>
    <t>Útlátsútrokning fyri 'Føroya Besta Fyritøka'. Ársfrágreiðing fyri 2023
Av tí at vit ikki høvdu tøkar dátur, vóru metingar um starvsfólkatal gjørdar fyri starvfólkaflutning. Hesar dátur vóru ikki tøkar.
Somuleiðis vantar okkum dátur um arbeiðsferðing fyri 3 mánaðir. Metingar av hesum dátum eru grundaðar á miðal arbeiðsferðing um mánaðin ársins fyrstu 9 mánaðir. Leitað verður eftir hesum dátum í løtuni og tølini í CO2-roknaranun verða dagførd, tá ið dáturnar eru tøkar.</t>
  </si>
  <si>
    <t>Hetta rokniamboðið skal nýtast við fyrivarni og undir egnari ábyrgd. Vinaliga boða Umhvørvisstovuni frá, um tú hevur uppskot til ábøtur.</t>
  </si>
  <si>
    <t xml:space="preserve">As covered by the Kyoto Protocol, there are seven main GHGs that contribute to climate change, as covered by the Kyoto Protocol. These are carbon dioxide (CO2), methane (CH4), nitrous oxide (N2O), hydrofluorocarbons (HFCs), perfluorocarbons (PFCs), sulfur hexafluoride (SF6) and nitrogen trifluoride (NF3). 
Different activities emit different gases. You should report on the Kyoto Protocol GHG gases produced by your particular activities.
Within the GHG Calculator, the following greenhouse gases are included within the emission factors:
• CO2 - Carbon Dioxide
• CH4 - Methane
• N2O - Nitrous Oxide
These are calculated into 'CO2e' emission factors using the Intergovernmental Panel for Climate Change 5th Assessment Report (AR5) global warming potentials. The calculator also uses emission factore for CO2e only.
Note:
•  Refrigerants slightly different to the other conversion factors as the gases have emitted have a global warming influence themselves.
•  Note various BEIS emission factors, such as aviation, include in-direct (non-CO2 emissions e.g. water vapour, contrails, NOx) climate change affects. 
More information on AR5 is available here: https://www.ipcc.ch/assessment-report/ar5/
</t>
  </si>
  <si>
    <t>Sambært Kyoto-protokollini eru sjey sløg av  vakstrarhúsgassi, ið elva til veðurlagsbroytingar. Hesi eru koltvísúrni (CO2), metan (CH4), láturgass (N2O), hydrofluorkolevni (HFC), perflourkolevni (PFC), svávulhexafluorid (SF6) og nitrogen trifluorid (NF3).
Ymiskt virksemi leiðir út ymisk gass. Boðast skal frá útlátinum frá tykkara virksemi av hvørjum av teimum gassunum, sum eru nevnd í Kyoto-protokollini.
CO2-roknarin brúkar útlátsfaktorar, sum fevna sum hesi gass:
• CO2 - Koltvísúrni
• CH4 - Metan
• N2O - Láturgass
Hesi verða umroknað til 'CO2e' útlát við upphitingarvirðum úr fimtu frágreiðingini hjá altjóða veðurlagsnevndini hjá ST, IPPC, um upphitingarvirði. Roknarin brúkar eisin útlátsfaktorar, sum bara brúka CO2e.
GG:
•  Kølievni víkja nakað frá øðrum útlátsfaktorum, tí gassini hava upphitingarárin í sjálvum sær.
•  GG! Ymiskir BEIS útlátsfaktorar, t.d. fyri flogferðslu, fevna um eisini um óbeinleiðis  (non-CO2 útlát t.d. vatnguva, frostslóð og NOx) árin á veðurlagið.
Meira kunning um AR5 fæst her: https://www.ipcc.ch/assessment-report/ar5/</t>
  </si>
  <si>
    <t>2023-1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</si>
</sst>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000"/>
    <numFmt numFmtId="167" formatCode="_-* #,##0.0000_-;\-* #,##0.0000_-;_-* &quot;-&quot;??_-;_-@_-"/>
    <numFmt numFmtId="168" formatCode="_(* #,##0.0000_);_(* \(#,##0.0000\);_(* &quot;-&quot;??_);_(@_)"/>
    <numFmt numFmtId="169" formatCode="0.000"/>
    <numFmt numFmtId="170" formatCode="0.000000"/>
  </numFmts>
  <fonts count="77">
    <font>
      <sz val="11"/>
      <color theme="1"/>
      <name val="Calibri"/>
      <family val="2"/>
      <scheme val="minor"/>
    </font>
    <font>
      <b/>
      <sz val="11"/>
      <color theme="1"/>
      <name val="Calibri"/>
      <family val="2"/>
      <scheme val="minor"/>
    </font>
    <font>
      <sz val="11"/>
      <color theme="1"/>
      <name val="Helvetica"/>
      <family val="2"/>
    </font>
    <font>
      <sz val="11"/>
      <name val="Helvetica"/>
      <family val="2"/>
    </font>
    <font>
      <b/>
      <sz val="11"/>
      <color theme="1"/>
      <name val="Helvetica"/>
      <family val="2"/>
    </font>
    <font>
      <sz val="10"/>
      <color theme="1"/>
      <name val="Helvetica"/>
      <family val="2"/>
    </font>
    <font>
      <sz val="11"/>
      <color theme="0"/>
      <name val="Helvetica"/>
      <family val="2"/>
    </font>
    <font>
      <sz val="11"/>
      <color theme="1"/>
      <name val="Calibri"/>
      <family val="2"/>
      <scheme val="minor"/>
    </font>
    <font>
      <b/>
      <sz val="11"/>
      <color theme="0"/>
      <name val="Helvetica"/>
      <family val="2"/>
    </font>
    <font>
      <b/>
      <sz val="9"/>
      <color indexed="81"/>
      <name val="Tahoma"/>
      <family val="2"/>
    </font>
    <font>
      <sz val="11"/>
      <color rgb="FF006100"/>
      <name val="Calibri"/>
      <family val="2"/>
      <scheme val="minor"/>
    </font>
    <font>
      <b/>
      <sz val="10"/>
      <color theme="0"/>
      <name val="Helvetica"/>
      <family val="2"/>
    </font>
    <font>
      <sz val="10"/>
      <name val="Arial"/>
      <family val="2"/>
    </font>
    <font>
      <sz val="10"/>
      <color theme="0"/>
      <name val="Helvetica"/>
      <family val="2"/>
    </font>
    <font>
      <u/>
      <sz val="11"/>
      <color theme="10"/>
      <name val="Calibri"/>
      <family val="2"/>
      <scheme val="minor"/>
    </font>
    <font>
      <sz val="11"/>
      <color theme="1"/>
      <name val="Helve"/>
    </font>
    <font>
      <b/>
      <sz val="11"/>
      <color theme="1"/>
      <name val="Helve"/>
    </font>
    <font>
      <b/>
      <sz val="50"/>
      <color theme="1"/>
      <name val="Klavika Regular"/>
    </font>
    <font>
      <b/>
      <sz val="16"/>
      <color theme="0"/>
      <name val="Klavika Regular"/>
    </font>
    <font>
      <b/>
      <sz val="14"/>
      <color theme="1"/>
      <name val="Klavika Regular"/>
    </font>
    <font>
      <b/>
      <sz val="50"/>
      <color theme="0"/>
      <name val="Klavika Regular"/>
    </font>
    <font>
      <b/>
      <sz val="50"/>
      <color rgb="FF61AC1E"/>
      <name val="Klavika Regular"/>
    </font>
    <font>
      <b/>
      <sz val="12"/>
      <color theme="1"/>
      <name val="Klavika-Regular"/>
    </font>
    <font>
      <sz val="11"/>
      <color theme="1"/>
      <name val="Klavika-Regular"/>
    </font>
    <font>
      <b/>
      <sz val="18"/>
      <color theme="0"/>
      <name val="Klavika Regular"/>
    </font>
    <font>
      <b/>
      <sz val="9"/>
      <color rgb="FF000000"/>
      <name val="Tahoma"/>
      <family val="2"/>
    </font>
    <font>
      <b/>
      <sz val="22"/>
      <color theme="0"/>
      <name val="Klavika Regular"/>
    </font>
    <font>
      <b/>
      <sz val="70"/>
      <color theme="1"/>
      <name val="Klavika Regular"/>
    </font>
    <font>
      <sz val="30"/>
      <color rgb="FF61AC1E"/>
      <name val="Klavika-Regular"/>
    </font>
    <font>
      <b/>
      <i/>
      <sz val="11"/>
      <color theme="1"/>
      <name val="Klavika-Regular"/>
    </font>
    <font>
      <sz val="14"/>
      <color theme="0"/>
      <name val="Helvetica"/>
      <family val="2"/>
    </font>
    <font>
      <b/>
      <i/>
      <sz val="11"/>
      <color rgb="FF61AC1E"/>
      <name val="Klavika-Regular"/>
    </font>
    <font>
      <b/>
      <sz val="11"/>
      <color rgb="FF61AC1E"/>
      <name val="Helvetica"/>
      <family val="2"/>
    </font>
    <font>
      <b/>
      <sz val="10"/>
      <color theme="1"/>
      <name val="Helvetica"/>
      <family val="2"/>
    </font>
    <font>
      <sz val="12"/>
      <color theme="1"/>
      <name val="Klavika-Regular"/>
    </font>
    <font>
      <b/>
      <sz val="12"/>
      <color rgb="FF61AC1E"/>
      <name val="Helvetica"/>
      <family val="2"/>
    </font>
    <font>
      <b/>
      <sz val="70"/>
      <color theme="1"/>
      <name val="Arial"/>
      <family val="2"/>
    </font>
    <font>
      <sz val="30"/>
      <color rgb="FF61AC1E"/>
      <name val="Arial"/>
      <family val="2"/>
    </font>
    <font>
      <sz val="11"/>
      <color theme="1"/>
      <name val="Arial"/>
      <family val="2"/>
    </font>
    <font>
      <b/>
      <sz val="12"/>
      <color theme="1"/>
      <name val="Arial"/>
      <family val="2"/>
    </font>
    <font>
      <sz val="11"/>
      <color theme="2" tint="-0.499984740745262"/>
      <name val="Arial"/>
      <family val="2"/>
    </font>
    <font>
      <b/>
      <i/>
      <sz val="12"/>
      <name val="Arial"/>
      <family val="2"/>
    </font>
    <font>
      <b/>
      <sz val="12"/>
      <name val="Arial"/>
      <family val="2"/>
    </font>
    <font>
      <b/>
      <sz val="10"/>
      <name val="Arial"/>
      <family val="2"/>
    </font>
    <font>
      <b/>
      <sz val="22"/>
      <color theme="0"/>
      <name val="Arial"/>
      <family val="2"/>
    </font>
    <font>
      <sz val="11"/>
      <name val="Arial"/>
      <family val="2"/>
    </font>
    <font>
      <sz val="18"/>
      <color theme="1"/>
      <name val="Arial"/>
      <family val="2"/>
    </font>
    <font>
      <u/>
      <sz val="11"/>
      <color rgb="FF0070C0"/>
      <name val="Arial"/>
      <family val="2"/>
    </font>
    <font>
      <u/>
      <sz val="11"/>
      <color theme="10"/>
      <name val="Arial"/>
      <family val="2"/>
    </font>
    <font>
      <b/>
      <sz val="11"/>
      <color theme="1"/>
      <name val="Arial"/>
      <family val="2"/>
    </font>
    <font>
      <sz val="28"/>
      <color theme="1"/>
      <name val="Arial"/>
      <family val="2"/>
    </font>
    <font>
      <sz val="24"/>
      <color theme="1"/>
      <name val="Arial"/>
      <family val="2"/>
    </font>
    <font>
      <b/>
      <sz val="11"/>
      <color theme="0"/>
      <name val="Arial"/>
      <family val="2"/>
    </font>
    <font>
      <sz val="10"/>
      <color theme="1"/>
      <name val="Arial"/>
      <family val="2"/>
    </font>
    <font>
      <b/>
      <i/>
      <sz val="11"/>
      <color theme="1"/>
      <name val="Arial"/>
      <family val="2"/>
    </font>
    <font>
      <sz val="12"/>
      <color theme="1"/>
      <name val="Arial"/>
      <family val="2"/>
    </font>
    <font>
      <b/>
      <sz val="12"/>
      <color rgb="FF61AC1E"/>
      <name val="Arial"/>
      <family val="2"/>
    </font>
    <font>
      <b/>
      <sz val="11"/>
      <color rgb="FF61AC1E"/>
      <name val="Arial"/>
      <family val="2"/>
    </font>
    <font>
      <b/>
      <vertAlign val="subscript"/>
      <sz val="11"/>
      <color theme="1"/>
      <name val="Arial"/>
      <family val="2"/>
    </font>
    <font>
      <sz val="16"/>
      <color theme="1"/>
      <name val="Arial"/>
      <family val="2"/>
    </font>
    <font>
      <b/>
      <sz val="11"/>
      <name val="Arial"/>
      <family val="2"/>
    </font>
    <font>
      <sz val="11"/>
      <color rgb="FF61AC1E"/>
      <name val="Arial"/>
      <family val="2"/>
    </font>
    <font>
      <b/>
      <sz val="18"/>
      <color theme="0"/>
      <name val="Arial"/>
      <family val="2"/>
    </font>
    <font>
      <sz val="25"/>
      <color rgb="FF61AC1E"/>
      <name val="Arial"/>
      <family val="2"/>
    </font>
    <font>
      <b/>
      <sz val="60"/>
      <color theme="1"/>
      <name val="Arial"/>
      <family val="2"/>
    </font>
    <font>
      <sz val="11"/>
      <color rgb="FF9C5700"/>
      <name val="Calibri"/>
      <family val="2"/>
      <scheme val="minor"/>
    </font>
    <font>
      <sz val="11"/>
      <name val="Calibri"/>
      <family val="2"/>
      <scheme val="minor"/>
    </font>
    <font>
      <sz val="8"/>
      <name val="Calibri"/>
      <family val="2"/>
      <scheme val="minor"/>
    </font>
    <font>
      <sz val="9"/>
      <color indexed="81"/>
      <name val="Tahoma"/>
      <family val="2"/>
    </font>
    <font>
      <sz val="11"/>
      <color theme="5" tint="-0.249977111117893"/>
      <name val="Arial"/>
      <family val="2"/>
    </font>
    <font>
      <sz val="9"/>
      <color indexed="81"/>
      <name val="Tahoma"/>
      <charset val="1"/>
    </font>
    <font>
      <b/>
      <sz val="9"/>
      <color indexed="81"/>
      <name val="Tahoma"/>
      <charset val="1"/>
    </font>
    <font>
      <sz val="11"/>
      <color rgb="FFFF0000"/>
      <name val="Arial"/>
      <family val="2"/>
    </font>
    <font>
      <sz val="11"/>
      <color theme="8" tint="-0.249977111117893"/>
      <name val="Arial"/>
      <family val="2"/>
    </font>
    <font>
      <sz val="11"/>
      <color rgb="FFC00000"/>
      <name val="Arial"/>
      <family val="2"/>
    </font>
    <font>
      <b/>
      <sz val="24"/>
      <color theme="1"/>
      <name val="Arial"/>
      <family val="2"/>
    </font>
    <font>
      <sz val="11"/>
      <color theme="0" tint="-0.34998626667073579"/>
      <name val="Arial"/>
      <family val="2"/>
    </font>
  </fonts>
  <fills count="3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gradientFill type="path">
        <stop position="0">
          <color theme="0" tint="-5.0965910824915313E-2"/>
        </stop>
        <stop position="1">
          <color theme="0" tint="-0.1490218817712943"/>
        </stop>
      </gradientFill>
    </fill>
    <fill>
      <patternFill patternType="solid">
        <fgColor rgb="FFE8D9F3"/>
        <bgColor indexed="64"/>
      </patternFill>
    </fill>
    <fill>
      <patternFill patternType="solid">
        <fgColor rgb="FFA1CB87"/>
        <bgColor indexed="64"/>
      </patternFill>
    </fill>
    <fill>
      <patternFill patternType="solid">
        <fgColor theme="8" tint="0.39997558519241921"/>
        <bgColor indexed="64"/>
      </patternFill>
    </fill>
    <fill>
      <patternFill patternType="solid">
        <fgColor rgb="FF7030A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C6EFCE"/>
      </patternFill>
    </fill>
    <fill>
      <patternFill patternType="solid">
        <fgColor theme="8" tint="-0.499984740745262"/>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1"/>
      </patternFill>
    </fill>
    <fill>
      <patternFill patternType="solid">
        <fgColor rgb="FFBEE395"/>
      </patternFill>
    </fill>
    <fill>
      <patternFill patternType="solid">
        <fgColor rgb="FF61AC1E"/>
      </patternFill>
    </fill>
    <fill>
      <patternFill patternType="solid">
        <fgColor rgb="FF61AC1E"/>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9C86CD"/>
        <bgColor indexed="64"/>
      </patternFill>
    </fill>
    <fill>
      <patternFill patternType="solid">
        <fgColor theme="1"/>
        <bgColor indexed="64"/>
      </patternFill>
    </fill>
    <fill>
      <patternFill patternType="solid">
        <fgColor rgb="FFFFEB9C"/>
      </patternFill>
    </fill>
    <fill>
      <patternFill patternType="solid">
        <fgColor theme="7" tint="0.79998168889431442"/>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1"/>
      </left>
      <right style="thin">
        <color theme="1"/>
      </right>
      <top style="thin">
        <color theme="1"/>
      </top>
      <bottom style="thin">
        <color theme="1"/>
      </bottom>
      <diagonal/>
    </border>
    <border>
      <left style="thin">
        <color theme="0"/>
      </left>
      <right/>
      <top/>
      <bottom/>
      <diagonal/>
    </border>
    <border>
      <left style="thin">
        <color theme="0"/>
      </left>
      <right style="thin">
        <color theme="0"/>
      </right>
      <top/>
      <bottom/>
      <diagonal/>
    </border>
  </borders>
  <cellStyleXfs count="23">
    <xf numFmtId="0" fontId="0" fillId="0" borderId="0"/>
    <xf numFmtId="164" fontId="7" fillId="0" borderId="0" applyFont="0" applyFill="0" applyBorder="0" applyAlignment="0" applyProtection="0"/>
    <xf numFmtId="43" fontId="7" fillId="0" borderId="0" applyFont="0" applyFill="0" applyBorder="0" applyAlignment="0" applyProtection="0"/>
    <xf numFmtId="0" fontId="10" fillId="16" borderId="0" applyNumberFormat="0" applyBorder="0" applyAlignment="0" applyProtection="0"/>
    <xf numFmtId="0" fontId="12" fillId="0" borderId="0"/>
    <xf numFmtId="0" fontId="14" fillId="0" borderId="0" applyNumberFormat="0" applyFill="0" applyBorder="0" applyAlignment="0" applyProtection="0"/>
    <xf numFmtId="9" fontId="7" fillId="0" borderId="0" applyFont="0" applyFill="0" applyBorder="0" applyAlignment="0" applyProtection="0"/>
    <xf numFmtId="0" fontId="17" fillId="0" borderId="1">
      <alignment horizontal="left" vertical="center"/>
      <protection locked="0"/>
    </xf>
    <xf numFmtId="0" fontId="18" fillId="20" borderId="1">
      <alignment horizontal="center" vertical="center"/>
    </xf>
    <xf numFmtId="0" fontId="19" fillId="21" borderId="1" applyAlignment="0">
      <alignment horizontal="center" vertical="center"/>
    </xf>
    <xf numFmtId="0" fontId="18" fillId="20" borderId="1">
      <alignment horizontal="left" vertical="center"/>
    </xf>
    <xf numFmtId="0" fontId="17" fillId="0" borderId="1">
      <alignment horizontal="left" vertical="center"/>
      <protection locked="0"/>
    </xf>
    <xf numFmtId="0" fontId="17" fillId="0" borderId="0">
      <alignment horizontal="left" vertical="center"/>
      <protection locked="0"/>
    </xf>
    <xf numFmtId="0" fontId="20" fillId="22" borderId="0">
      <alignment horizontal="left" vertical="center"/>
      <protection locked="0"/>
    </xf>
    <xf numFmtId="0" fontId="21" fillId="0" borderId="0">
      <alignment horizontal="left" vertical="center"/>
      <protection locked="0"/>
    </xf>
    <xf numFmtId="0" fontId="24" fillId="20" borderId="1">
      <alignment horizontal="center" vertical="center"/>
    </xf>
    <xf numFmtId="0" fontId="26" fillId="20" borderId="15">
      <alignment horizontal="center" vertical="center"/>
    </xf>
    <xf numFmtId="0" fontId="26" fillId="23" borderId="0">
      <alignment horizontal="center" vertical="center"/>
    </xf>
    <xf numFmtId="0" fontId="27" fillId="0" borderId="0">
      <alignment horizontal="left" vertical="center"/>
    </xf>
    <xf numFmtId="0" fontId="28" fillId="0" borderId="0"/>
    <xf numFmtId="0" fontId="26" fillId="23" borderId="0">
      <alignment horizontal="center" vertical="center"/>
    </xf>
    <xf numFmtId="0" fontId="34" fillId="14" borderId="0">
      <alignment horizontal="center" vertical="center" wrapText="1"/>
    </xf>
    <xf numFmtId="0" fontId="65" fillId="30" borderId="0" applyNumberFormat="0" applyBorder="0" applyAlignment="0" applyProtection="0"/>
  </cellStyleXfs>
  <cellXfs count="459">
    <xf numFmtId="0" fontId="0" fillId="0" borderId="0" xfId="0"/>
    <xf numFmtId="0" fontId="2" fillId="0" borderId="0" xfId="0" applyFont="1"/>
    <xf numFmtId="0" fontId="2" fillId="2" borderId="0" xfId="0" applyFont="1" applyFill="1"/>
    <xf numFmtId="0" fontId="3" fillId="0" borderId="0" xfId="0" applyFont="1"/>
    <xf numFmtId="0" fontId="2" fillId="8" borderId="0" xfId="0" applyFont="1" applyFill="1"/>
    <xf numFmtId="0" fontId="3" fillId="8" borderId="0" xfId="0" applyFont="1" applyFill="1"/>
    <xf numFmtId="0" fontId="2" fillId="9" borderId="0" xfId="0" applyFont="1" applyFill="1"/>
    <xf numFmtId="0" fontId="4" fillId="2" borderId="0" xfId="0" applyFont="1" applyFill="1"/>
    <xf numFmtId="0" fontId="5" fillId="2" borderId="0" xfId="0" applyFont="1" applyFill="1" applyAlignment="1">
      <alignment vertical="center"/>
    </xf>
    <xf numFmtId="0" fontId="6" fillId="2" borderId="0" xfId="0" applyFont="1" applyFill="1"/>
    <xf numFmtId="0" fontId="2" fillId="2" borderId="3" xfId="0" applyFont="1" applyFill="1" applyBorder="1"/>
    <xf numFmtId="0" fontId="2" fillId="2" borderId="2" xfId="0" applyFont="1" applyFill="1" applyBorder="1"/>
    <xf numFmtId="0" fontId="2" fillId="2" borderId="5" xfId="0" applyFont="1" applyFill="1" applyBorder="1"/>
    <xf numFmtId="0" fontId="1" fillId="0" borderId="0" xfId="0" applyFont="1"/>
    <xf numFmtId="168" fontId="0" fillId="0" borderId="0" xfId="1" applyNumberFormat="1" applyFont="1"/>
    <xf numFmtId="0" fontId="1" fillId="0" borderId="0" xfId="0" applyFont="1" applyAlignment="1">
      <alignment wrapText="1"/>
    </xf>
    <xf numFmtId="0" fontId="1" fillId="0" borderId="0" xfId="0" applyFont="1" applyAlignment="1">
      <alignment horizontal="center" vertical="center" wrapText="1"/>
    </xf>
    <xf numFmtId="0" fontId="12" fillId="0" borderId="0" xfId="4"/>
    <xf numFmtId="0" fontId="13" fillId="2" borderId="0" xfId="0" applyFont="1" applyFill="1" applyAlignment="1">
      <alignment horizontal="left" vertical="center"/>
    </xf>
    <xf numFmtId="165" fontId="6" fillId="2" borderId="0" xfId="1" applyNumberFormat="1" applyFont="1" applyFill="1" applyBorder="1"/>
    <xf numFmtId="0" fontId="3" fillId="2" borderId="0" xfId="0" applyFont="1" applyFill="1"/>
    <xf numFmtId="0" fontId="1" fillId="0" borderId="0" xfId="0" applyFont="1" applyAlignment="1">
      <alignment vertical="center" wrapText="1"/>
    </xf>
    <xf numFmtId="164" fontId="0" fillId="0" borderId="0" xfId="1" applyFont="1"/>
    <xf numFmtId="165" fontId="0" fillId="0" borderId="0" xfId="1" applyNumberFormat="1" applyFont="1"/>
    <xf numFmtId="164" fontId="1" fillId="0" borderId="0" xfId="1" applyFont="1"/>
    <xf numFmtId="165" fontId="6" fillId="2" borderId="0" xfId="0" applyNumberFormat="1" applyFont="1" applyFill="1"/>
    <xf numFmtId="0" fontId="15" fillId="9" borderId="0" xfId="0" applyFont="1" applyFill="1"/>
    <xf numFmtId="0" fontId="15" fillId="8" borderId="0" xfId="0" applyFont="1" applyFill="1"/>
    <xf numFmtId="0" fontId="15" fillId="0" borderId="0" xfId="0" applyFont="1"/>
    <xf numFmtId="0" fontId="16" fillId="2" borderId="1" xfId="0" applyFont="1" applyFill="1" applyBorder="1" applyAlignment="1">
      <alignment horizontal="center" vertical="center"/>
    </xf>
    <xf numFmtId="0" fontId="15" fillId="2" borderId="0" xfId="0" applyFont="1" applyFill="1" applyAlignment="1">
      <alignment horizontal="left" vertical="center"/>
    </xf>
    <xf numFmtId="14" fontId="15" fillId="0" borderId="1" xfId="0" applyNumberFormat="1" applyFont="1" applyBorder="1"/>
    <xf numFmtId="0" fontId="15" fillId="0" borderId="1" xfId="0" applyFont="1" applyBorder="1"/>
    <xf numFmtId="0" fontId="8" fillId="2" borderId="0" xfId="0" applyFont="1" applyFill="1"/>
    <xf numFmtId="0" fontId="0" fillId="0" borderId="0" xfId="0" applyAlignment="1">
      <alignment wrapText="1"/>
    </xf>
    <xf numFmtId="0" fontId="1" fillId="0" borderId="8" xfId="0" applyFont="1" applyBorder="1" applyAlignment="1">
      <alignment wrapText="1"/>
    </xf>
    <xf numFmtId="0" fontId="2" fillId="0" borderId="1" xfId="0" applyFont="1" applyBorder="1"/>
    <xf numFmtId="0" fontId="2" fillId="2" borderId="4" xfId="0" applyFont="1" applyFill="1" applyBorder="1"/>
    <xf numFmtId="0" fontId="2" fillId="2" borderId="6" xfId="0" applyFont="1" applyFill="1" applyBorder="1"/>
    <xf numFmtId="0" fontId="2" fillId="0" borderId="5" xfId="0" applyFont="1" applyBorder="1"/>
    <xf numFmtId="0" fontId="2" fillId="0" borderId="6" xfId="0" applyFont="1" applyBorder="1"/>
    <xf numFmtId="9" fontId="6" fillId="2" borderId="0" xfId="6" applyFont="1" applyFill="1" applyBorder="1"/>
    <xf numFmtId="165" fontId="2" fillId="2" borderId="0" xfId="1" applyNumberFormat="1" applyFont="1" applyFill="1" applyBorder="1"/>
    <xf numFmtId="0" fontId="29" fillId="2" borderId="0" xfId="0" applyFont="1" applyFill="1"/>
    <xf numFmtId="0" fontId="30" fillId="0" borderId="0" xfId="0" applyFont="1" applyAlignment="1">
      <alignment horizontal="left" vertical="center"/>
    </xf>
    <xf numFmtId="0" fontId="31" fillId="2" borderId="0" xfId="0" applyFont="1" applyFill="1"/>
    <xf numFmtId="165" fontId="10" fillId="14" borderId="0" xfId="3" applyNumberFormat="1" applyFill="1" applyBorder="1"/>
    <xf numFmtId="164" fontId="10" fillId="14" borderId="0" xfId="3" applyNumberFormat="1" applyFill="1" applyBorder="1"/>
    <xf numFmtId="0" fontId="11" fillId="23" borderId="0" xfId="0" applyFont="1" applyFill="1" applyAlignment="1">
      <alignment horizontal="left" vertical="center" wrapText="1"/>
    </xf>
    <xf numFmtId="0" fontId="33" fillId="0" borderId="0" xfId="0" applyFont="1" applyAlignment="1">
      <alignment horizontal="center" vertical="center" wrapText="1"/>
    </xf>
    <xf numFmtId="0" fontId="32" fillId="0" borderId="0" xfId="0" applyFont="1" applyAlignment="1">
      <alignment horizontal="left" vertical="center" indent="1"/>
    </xf>
    <xf numFmtId="165" fontId="32" fillId="0" borderId="0" xfId="0" applyNumberFormat="1" applyFont="1" applyAlignment="1">
      <alignment horizontal="left" vertical="center" indent="1"/>
    </xf>
    <xf numFmtId="0" fontId="8" fillId="18" borderId="0" xfId="0" applyFont="1" applyFill="1" applyAlignment="1">
      <alignment horizontal="left" vertical="center" indent="1"/>
    </xf>
    <xf numFmtId="165" fontId="8" fillId="18" borderId="0" xfId="1" applyNumberFormat="1" applyFont="1" applyFill="1" applyBorder="1" applyAlignment="1">
      <alignment horizontal="left" vertical="center" indent="1"/>
    </xf>
    <xf numFmtId="0" fontId="4" fillId="5" borderId="0" xfId="0" applyFont="1" applyFill="1" applyAlignment="1">
      <alignment horizontal="left" vertical="center" indent="1"/>
    </xf>
    <xf numFmtId="0" fontId="5" fillId="5" borderId="0" xfId="0" applyFont="1" applyFill="1" applyAlignment="1">
      <alignment horizontal="left" vertical="center" indent="1"/>
    </xf>
    <xf numFmtId="165" fontId="2" fillId="0" borderId="0" xfId="1" applyNumberFormat="1" applyFont="1" applyFill="1" applyBorder="1" applyAlignment="1">
      <alignment horizontal="left" indent="1"/>
    </xf>
    <xf numFmtId="0" fontId="8" fillId="17" borderId="0" xfId="0" applyFont="1" applyFill="1" applyAlignment="1">
      <alignment horizontal="left" vertical="center" indent="1"/>
    </xf>
    <xf numFmtId="165" fontId="8" fillId="17" borderId="0" xfId="1" applyNumberFormat="1" applyFont="1" applyFill="1" applyBorder="1" applyAlignment="1">
      <alignment horizontal="left" vertical="center" indent="1"/>
    </xf>
    <xf numFmtId="0" fontId="4" fillId="3" borderId="0" xfId="0" applyFont="1" applyFill="1" applyAlignment="1">
      <alignment horizontal="left" vertical="center" indent="1"/>
    </xf>
    <xf numFmtId="0" fontId="5" fillId="3" borderId="0" xfId="0" applyFont="1" applyFill="1" applyAlignment="1">
      <alignment horizontal="left" vertical="center" indent="1"/>
    </xf>
    <xf numFmtId="0" fontId="8" fillId="13" borderId="0" xfId="0" applyFont="1" applyFill="1" applyAlignment="1">
      <alignment horizontal="left" vertical="center" indent="1"/>
    </xf>
    <xf numFmtId="165" fontId="8" fillId="13" borderId="0" xfId="1" applyNumberFormat="1" applyFont="1" applyFill="1" applyBorder="1" applyAlignment="1">
      <alignment horizontal="left" indent="1"/>
    </xf>
    <xf numFmtId="0" fontId="4" fillId="10" borderId="0" xfId="0" applyFont="1" applyFill="1" applyAlignment="1">
      <alignment horizontal="left" vertical="center" indent="1"/>
    </xf>
    <xf numFmtId="0" fontId="5" fillId="10" borderId="0" xfId="0" applyFont="1" applyFill="1" applyAlignment="1">
      <alignment horizontal="left" vertical="center" indent="1"/>
    </xf>
    <xf numFmtId="165" fontId="4" fillId="5" borderId="0" xfId="1" applyNumberFormat="1" applyFont="1" applyFill="1" applyBorder="1" applyAlignment="1">
      <alignment horizontal="left" vertical="center" indent="1"/>
    </xf>
    <xf numFmtId="164" fontId="4" fillId="5" borderId="0" xfId="1" applyFont="1" applyFill="1" applyBorder="1" applyAlignment="1">
      <alignment horizontal="left" vertical="center" indent="1"/>
    </xf>
    <xf numFmtId="0" fontId="38" fillId="2" borderId="0" xfId="0" applyFont="1" applyFill="1"/>
    <xf numFmtId="0" fontId="41" fillId="0" borderId="0" xfId="0" applyFont="1" applyAlignment="1">
      <alignment horizontal="left" vertical="center" indent="2"/>
    </xf>
    <xf numFmtId="0" fontId="42" fillId="0" borderId="0" xfId="0" applyFont="1"/>
    <xf numFmtId="0" fontId="43" fillId="0" borderId="0" xfId="0" applyFont="1"/>
    <xf numFmtId="0" fontId="38" fillId="0" borderId="0" xfId="0" applyFont="1"/>
    <xf numFmtId="0" fontId="38" fillId="2" borderId="0" xfId="0" applyFont="1" applyFill="1" applyAlignment="1">
      <alignment horizontal="left"/>
    </xf>
    <xf numFmtId="0" fontId="38" fillId="2" borderId="0" xfId="0" applyFont="1" applyFill="1" applyAlignment="1">
      <alignment horizontal="left" vertical="center" indent="1"/>
    </xf>
    <xf numFmtId="0" fontId="38" fillId="5" borderId="0" xfId="0" applyFont="1" applyFill="1" applyAlignment="1">
      <alignment vertical="center"/>
    </xf>
    <xf numFmtId="0" fontId="50" fillId="0" borderId="0" xfId="0" applyFont="1" applyAlignment="1">
      <alignment vertical="center"/>
    </xf>
    <xf numFmtId="0" fontId="51" fillId="0" borderId="0" xfId="0" applyFont="1" applyAlignment="1">
      <alignment vertical="center"/>
    </xf>
    <xf numFmtId="0" fontId="38" fillId="2" borderId="0" xfId="0" applyFont="1" applyFill="1" applyAlignment="1">
      <alignment wrapText="1"/>
    </xf>
    <xf numFmtId="0" fontId="4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38" fillId="11" borderId="0" xfId="0" applyFont="1" applyFill="1" applyAlignment="1">
      <alignment horizontal="left" vertical="center" indent="1"/>
    </xf>
    <xf numFmtId="0" fontId="38" fillId="5" borderId="0" xfId="0" applyFont="1" applyFill="1" applyAlignment="1">
      <alignment horizontal="left" vertical="center" indent="1"/>
    </xf>
    <xf numFmtId="0" fontId="38" fillId="12" borderId="0" xfId="0" applyFont="1" applyFill="1" applyAlignment="1">
      <alignment horizontal="left" vertical="center" indent="1"/>
    </xf>
    <xf numFmtId="0" fontId="49" fillId="2" borderId="0" xfId="0" applyFont="1" applyFill="1" applyAlignment="1">
      <alignment horizontal="center"/>
    </xf>
    <xf numFmtId="0" fontId="49" fillId="2" borderId="0" xfId="0" applyFont="1" applyFill="1" applyAlignment="1">
      <alignment horizontal="right"/>
    </xf>
    <xf numFmtId="0" fontId="49" fillId="2" borderId="0" xfId="0" applyFont="1" applyFill="1"/>
    <xf numFmtId="0" fontId="49" fillId="2" borderId="8" xfId="0" applyFont="1" applyFill="1" applyBorder="1" applyAlignment="1">
      <alignment horizontal="right"/>
    </xf>
    <xf numFmtId="0" fontId="53" fillId="2" borderId="8" xfId="0" applyFont="1" applyFill="1" applyBorder="1" applyAlignment="1">
      <alignment vertical="center"/>
    </xf>
    <xf numFmtId="0" fontId="38" fillId="2" borderId="8" xfId="0" applyFont="1" applyFill="1" applyBorder="1"/>
    <xf numFmtId="0" fontId="38" fillId="5" borderId="1" xfId="0" applyFont="1" applyFill="1" applyBorder="1" applyProtection="1">
      <protection locked="0"/>
    </xf>
    <xf numFmtId="0" fontId="49" fillId="2" borderId="0" xfId="0" applyFont="1" applyFill="1" applyAlignment="1">
      <alignment horizontal="right" vertical="center" wrapText="1"/>
    </xf>
    <xf numFmtId="0" fontId="54" fillId="0" borderId="0" xfId="0" applyFont="1"/>
    <xf numFmtId="0" fontId="54" fillId="2" borderId="0" xfId="0" applyFont="1" applyFill="1"/>
    <xf numFmtId="0" fontId="53" fillId="2" borderId="0" xfId="0" applyFont="1" applyFill="1" applyAlignment="1">
      <alignment vertical="center"/>
    </xf>
    <xf numFmtId="0" fontId="38" fillId="11" borderId="14" xfId="0" applyFont="1" applyFill="1" applyBorder="1" applyAlignment="1">
      <alignment horizontal="left" vertical="center" indent="1"/>
    </xf>
    <xf numFmtId="0" fontId="38" fillId="4" borderId="14" xfId="0" applyFont="1" applyFill="1" applyBorder="1" applyAlignment="1">
      <alignment horizontal="left" vertical="center" indent="1"/>
    </xf>
    <xf numFmtId="0" fontId="45" fillId="7" borderId="14" xfId="0" applyFont="1" applyFill="1" applyBorder="1" applyAlignment="1">
      <alignment horizontal="left" vertical="center" indent="1"/>
    </xf>
    <xf numFmtId="165" fontId="38" fillId="4" borderId="14" xfId="1" applyNumberFormat="1" applyFont="1" applyFill="1" applyBorder="1" applyAlignment="1" applyProtection="1">
      <alignment horizontal="right" vertical="center" indent="1"/>
    </xf>
    <xf numFmtId="165" fontId="38" fillId="12" borderId="14" xfId="1" applyNumberFormat="1" applyFont="1" applyFill="1" applyBorder="1" applyAlignment="1" applyProtection="1">
      <alignment horizontal="right" vertical="center" indent="1"/>
    </xf>
    <xf numFmtId="165" fontId="38" fillId="12" borderId="14" xfId="1" applyNumberFormat="1" applyFont="1" applyFill="1" applyBorder="1" applyAlignment="1" applyProtection="1">
      <alignment horizontal="left" vertical="center" indent="1"/>
    </xf>
    <xf numFmtId="0" fontId="45" fillId="0" borderId="21" xfId="0" applyFont="1" applyBorder="1" applyAlignment="1">
      <alignment horizontal="left" vertical="center"/>
    </xf>
    <xf numFmtId="43" fontId="38" fillId="2" borderId="0" xfId="0" applyNumberFormat="1" applyFont="1" applyFill="1"/>
    <xf numFmtId="0" fontId="38" fillId="11" borderId="14" xfId="0" applyFont="1" applyFill="1" applyBorder="1" applyAlignment="1" applyProtection="1">
      <alignment horizontal="left" vertical="center" indent="1"/>
      <protection locked="0"/>
    </xf>
    <xf numFmtId="0" fontId="38" fillId="4" borderId="14" xfId="0" applyFont="1" applyFill="1" applyBorder="1" applyAlignment="1" applyProtection="1">
      <alignment horizontal="left" vertical="center" indent="1"/>
      <protection locked="0"/>
    </xf>
    <xf numFmtId="0" fontId="45" fillId="7" borderId="14" xfId="0" applyFont="1" applyFill="1" applyBorder="1" applyAlignment="1" applyProtection="1">
      <alignment horizontal="left" vertical="center" indent="1"/>
      <protection locked="0"/>
    </xf>
    <xf numFmtId="165" fontId="38" fillId="4" borderId="14" xfId="1" applyNumberFormat="1" applyFont="1" applyFill="1" applyBorder="1" applyAlignment="1" applyProtection="1">
      <alignment horizontal="left" vertical="center" indent="1"/>
      <protection locked="0"/>
    </xf>
    <xf numFmtId="165" fontId="38" fillId="12" borderId="14" xfId="1" applyNumberFormat="1" applyFont="1" applyFill="1" applyBorder="1" applyAlignment="1">
      <alignment horizontal="right" vertical="center" indent="1"/>
    </xf>
    <xf numFmtId="0" fontId="45" fillId="7" borderId="14" xfId="0" applyFont="1" applyFill="1" applyBorder="1" applyAlignment="1">
      <alignment vertical="center"/>
    </xf>
    <xf numFmtId="166" fontId="45" fillId="7" borderId="14" xfId="0" applyNumberFormat="1" applyFont="1" applyFill="1" applyBorder="1" applyAlignment="1">
      <alignment vertical="center"/>
    </xf>
    <xf numFmtId="165" fontId="38" fillId="12" borderId="14" xfId="1" applyNumberFormat="1" applyFont="1" applyFill="1" applyBorder="1" applyAlignment="1" applyProtection="1">
      <alignment horizontal="right" vertical="center"/>
    </xf>
    <xf numFmtId="0" fontId="38" fillId="4" borderId="13" xfId="0" applyFont="1" applyFill="1" applyBorder="1" applyAlignment="1" applyProtection="1">
      <alignment horizontal="left" vertical="center" indent="1"/>
      <protection locked="0"/>
    </xf>
    <xf numFmtId="165" fontId="38" fillId="12" borderId="14" xfId="1" applyNumberFormat="1" applyFont="1" applyFill="1" applyBorder="1" applyAlignment="1">
      <alignment horizontal="left" vertical="center" indent="1"/>
    </xf>
    <xf numFmtId="165" fontId="38" fillId="4" borderId="13" xfId="1" applyNumberFormat="1" applyFont="1" applyFill="1" applyBorder="1" applyAlignment="1" applyProtection="1">
      <alignment horizontal="left" vertical="center" indent="1"/>
      <protection locked="0"/>
    </xf>
    <xf numFmtId="0" fontId="45" fillId="4" borderId="13" xfId="0" applyFont="1" applyFill="1" applyBorder="1" applyAlignment="1" applyProtection="1">
      <alignment horizontal="left" vertical="center" indent="1"/>
      <protection locked="0"/>
    </xf>
    <xf numFmtId="165" fontId="38" fillId="2" borderId="0" xfId="0" applyNumberFormat="1" applyFont="1" applyFill="1" applyAlignment="1">
      <alignment horizontal="right" vertical="center" indent="1"/>
    </xf>
    <xf numFmtId="0" fontId="56" fillId="0" borderId="0" xfId="0" applyFont="1" applyAlignment="1">
      <alignment horizontal="left" vertical="center" indent="1"/>
    </xf>
    <xf numFmtId="165" fontId="49" fillId="12" borderId="0" xfId="1" applyNumberFormat="1" applyFont="1" applyFill="1" applyBorder="1" applyAlignment="1">
      <alignment horizontal="left" vertical="center" indent="1"/>
    </xf>
    <xf numFmtId="0" fontId="38" fillId="2" borderId="0" xfId="0" applyFont="1" applyFill="1" applyAlignment="1">
      <alignment horizontal="left" indent="1"/>
    </xf>
    <xf numFmtId="0" fontId="38" fillId="5" borderId="0" xfId="0" applyFont="1" applyFill="1" applyAlignment="1">
      <alignment horizontal="left" indent="1"/>
    </xf>
    <xf numFmtId="165" fontId="49" fillId="12" borderId="0" xfId="1" applyNumberFormat="1" applyFont="1" applyFill="1" applyBorder="1" applyAlignment="1">
      <alignment horizontal="left" indent="1"/>
    </xf>
    <xf numFmtId="0" fontId="38" fillId="4" borderId="0" xfId="0" applyFont="1" applyFill="1" applyAlignment="1">
      <alignment horizontal="left" vertical="center" indent="1"/>
    </xf>
    <xf numFmtId="0" fontId="45" fillId="2" borderId="0" xfId="0" applyFont="1" applyFill="1"/>
    <xf numFmtId="0" fontId="38" fillId="11" borderId="14" xfId="0" applyFont="1" applyFill="1" applyBorder="1" applyAlignment="1" applyProtection="1">
      <alignment horizontal="left" vertical="center"/>
      <protection locked="0"/>
    </xf>
    <xf numFmtId="0" fontId="38" fillId="4" borderId="14" xfId="0" applyFont="1" applyFill="1" applyBorder="1" applyAlignment="1">
      <alignment vertical="center"/>
    </xf>
    <xf numFmtId="0" fontId="38" fillId="11" borderId="14" xfId="0" applyFont="1" applyFill="1" applyBorder="1" applyAlignment="1">
      <alignment vertical="center"/>
    </xf>
    <xf numFmtId="165" fontId="38" fillId="4" borderId="14" xfId="1" applyNumberFormat="1" applyFont="1" applyFill="1" applyBorder="1" applyAlignment="1" applyProtection="1">
      <alignment horizontal="right" vertical="center"/>
    </xf>
    <xf numFmtId="2" fontId="45" fillId="7" borderId="14" xfId="0" applyNumberFormat="1" applyFont="1" applyFill="1" applyBorder="1" applyAlignment="1">
      <alignment vertical="center"/>
    </xf>
    <xf numFmtId="164" fontId="38" fillId="12" borderId="14" xfId="1" applyFont="1" applyFill="1" applyBorder="1" applyAlignment="1" applyProtection="1">
      <alignment horizontal="right" vertical="center"/>
    </xf>
    <xf numFmtId="164" fontId="38" fillId="12" borderId="14" xfId="1" applyFont="1" applyFill="1" applyBorder="1" applyAlignment="1" applyProtection="1">
      <alignment horizontal="right" vertical="center" indent="1"/>
    </xf>
    <xf numFmtId="0" fontId="38" fillId="4" borderId="14" xfId="0" applyFont="1" applyFill="1" applyBorder="1" applyAlignment="1" applyProtection="1">
      <alignment vertical="center"/>
      <protection locked="0"/>
    </xf>
    <xf numFmtId="0" fontId="38" fillId="11" borderId="14" xfId="0" applyFont="1" applyFill="1" applyBorder="1" applyAlignment="1" applyProtection="1">
      <alignment vertical="center"/>
      <protection locked="0"/>
    </xf>
    <xf numFmtId="0" fontId="45" fillId="7" borderId="14" xfId="0" applyFont="1" applyFill="1" applyBorder="1" applyAlignment="1" applyProtection="1">
      <alignment vertical="center"/>
      <protection locked="0"/>
    </xf>
    <xf numFmtId="165" fontId="38" fillId="4" borderId="14" xfId="1" applyNumberFormat="1" applyFont="1" applyFill="1" applyBorder="1" applyAlignment="1" applyProtection="1">
      <alignment horizontal="right" vertical="center"/>
      <protection locked="0"/>
    </xf>
    <xf numFmtId="164" fontId="38" fillId="12" borderId="14" xfId="1" applyFont="1" applyFill="1" applyBorder="1" applyAlignment="1">
      <alignment horizontal="right" vertical="center"/>
    </xf>
    <xf numFmtId="0" fontId="38" fillId="4" borderId="14" xfId="0" applyFont="1" applyFill="1" applyBorder="1" applyProtection="1">
      <protection locked="0"/>
    </xf>
    <xf numFmtId="0" fontId="38" fillId="4" borderId="13" xfId="0" applyFont="1" applyFill="1" applyBorder="1" applyProtection="1">
      <protection locked="0"/>
    </xf>
    <xf numFmtId="165" fontId="38" fillId="4" borderId="13" xfId="1" applyNumberFormat="1" applyFont="1" applyFill="1" applyBorder="1" applyAlignment="1" applyProtection="1">
      <alignment horizontal="right"/>
      <protection locked="0"/>
    </xf>
    <xf numFmtId="0" fontId="45" fillId="4" borderId="13" xfId="0" applyFont="1" applyFill="1" applyBorder="1" applyProtection="1">
      <protection locked="0"/>
    </xf>
    <xf numFmtId="0" fontId="38" fillId="2" borderId="0" xfId="0" applyFont="1" applyFill="1" applyAlignment="1">
      <alignment horizontal="right"/>
    </xf>
    <xf numFmtId="164" fontId="49" fillId="12" borderId="0" xfId="1" applyFont="1" applyFill="1" applyBorder="1" applyAlignment="1">
      <alignment horizontal="left" vertical="center" indent="1"/>
    </xf>
    <xf numFmtId="0" fontId="38" fillId="5" borderId="14" xfId="0" applyFont="1" applyFill="1" applyBorder="1" applyAlignment="1">
      <alignment horizontal="left" indent="1"/>
    </xf>
    <xf numFmtId="0" fontId="38" fillId="5" borderId="13" xfId="0" applyFont="1" applyFill="1" applyBorder="1" applyAlignment="1">
      <alignment horizontal="left" indent="1"/>
    </xf>
    <xf numFmtId="165" fontId="38" fillId="4" borderId="14" xfId="1" applyNumberFormat="1" applyFont="1" applyFill="1" applyBorder="1" applyAlignment="1" applyProtection="1">
      <alignment horizontal="right" vertical="center" indent="1"/>
      <protection locked="0"/>
    </xf>
    <xf numFmtId="164" fontId="38" fillId="12" borderId="14" xfId="1" applyFont="1" applyFill="1" applyBorder="1" applyAlignment="1">
      <alignment horizontal="right" vertical="center" indent="1"/>
    </xf>
    <xf numFmtId="0" fontId="38" fillId="5" borderId="14" xfId="0" applyFont="1" applyFill="1" applyBorder="1" applyAlignment="1" applyProtection="1">
      <alignment horizontal="left" indent="1"/>
      <protection locked="0"/>
    </xf>
    <xf numFmtId="0" fontId="38" fillId="4" borderId="13" xfId="0" applyFont="1" applyFill="1" applyBorder="1" applyAlignment="1" applyProtection="1">
      <alignment horizontal="left" indent="1"/>
      <protection locked="0"/>
    </xf>
    <xf numFmtId="0" fontId="38" fillId="5" borderId="13" xfId="0" applyFont="1" applyFill="1" applyBorder="1" applyAlignment="1" applyProtection="1">
      <alignment horizontal="left" indent="1"/>
      <protection locked="0"/>
    </xf>
    <xf numFmtId="165" fontId="38" fillId="4" borderId="13" xfId="1" applyNumberFormat="1" applyFont="1" applyFill="1" applyBorder="1" applyAlignment="1" applyProtection="1">
      <alignment horizontal="right" indent="1"/>
      <protection locked="0"/>
    </xf>
    <xf numFmtId="0" fontId="45" fillId="4" borderId="13" xfId="0" applyFont="1" applyFill="1" applyBorder="1" applyAlignment="1" applyProtection="1">
      <alignment horizontal="left" indent="1"/>
      <protection locked="0"/>
    </xf>
    <xf numFmtId="164" fontId="49" fillId="12" borderId="0" xfId="1" applyFont="1" applyFill="1" applyBorder="1" applyAlignment="1">
      <alignment horizontal="left" indent="1"/>
    </xf>
    <xf numFmtId="0" fontId="38" fillId="2" borderId="6" xfId="0" applyFont="1" applyFill="1" applyBorder="1"/>
    <xf numFmtId="0" fontId="38" fillId="2" borderId="0" xfId="0" applyFont="1" applyFill="1" applyAlignment="1">
      <alignment horizontal="center" vertical="center"/>
    </xf>
    <xf numFmtId="0" fontId="52" fillId="19" borderId="1" xfId="0" applyFont="1" applyFill="1" applyBorder="1" applyAlignment="1">
      <alignment horizontal="center" vertical="center" wrapText="1"/>
    </xf>
    <xf numFmtId="0" fontId="55" fillId="14" borderId="0" xfId="21" applyFont="1" applyAlignment="1">
      <alignment horizontal="left" vertical="center" wrapText="1" indent="1"/>
    </xf>
    <xf numFmtId="164" fontId="38" fillId="12" borderId="14" xfId="1" applyFont="1" applyFill="1" applyBorder="1" applyAlignment="1" applyProtection="1">
      <alignment horizontal="left" vertical="center" indent="1"/>
    </xf>
    <xf numFmtId="0" fontId="45" fillId="4" borderId="14" xfId="0" applyFont="1" applyFill="1" applyBorder="1" applyAlignment="1">
      <alignment horizontal="left" indent="1"/>
    </xf>
    <xf numFmtId="0" fontId="38" fillId="4" borderId="13" xfId="0" applyFont="1" applyFill="1" applyBorder="1" applyAlignment="1">
      <alignment horizontal="left" indent="1"/>
    </xf>
    <xf numFmtId="0" fontId="45" fillId="4" borderId="13" xfId="0" applyFont="1" applyFill="1" applyBorder="1" applyAlignment="1">
      <alignment horizontal="left" indent="1"/>
    </xf>
    <xf numFmtId="0" fontId="49" fillId="0" borderId="1" xfId="0" applyFont="1" applyBorder="1" applyAlignment="1">
      <alignment horizontal="center" vertical="center" wrapText="1"/>
    </xf>
    <xf numFmtId="0" fontId="38" fillId="2" borderId="10" xfId="0" applyFont="1" applyFill="1" applyBorder="1" applyAlignment="1">
      <alignment horizontal="left" indent="1"/>
    </xf>
    <xf numFmtId="0" fontId="38" fillId="2" borderId="11" xfId="0" applyFont="1" applyFill="1" applyBorder="1" applyAlignment="1">
      <alignment horizontal="left" indent="1"/>
    </xf>
    <xf numFmtId="0" fontId="38" fillId="11" borderId="14" xfId="0" applyFont="1" applyFill="1" applyBorder="1" applyAlignment="1">
      <alignment horizontal="left" vertical="center"/>
    </xf>
    <xf numFmtId="0" fontId="38" fillId="5" borderId="14" xfId="0" applyFont="1" applyFill="1" applyBorder="1"/>
    <xf numFmtId="0" fontId="38" fillId="5" borderId="14" xfId="0" applyFont="1" applyFill="1" applyBorder="1" applyProtection="1">
      <protection locked="0"/>
    </xf>
    <xf numFmtId="0" fontId="38" fillId="5" borderId="13" xfId="0" applyFont="1" applyFill="1" applyBorder="1" applyProtection="1">
      <protection locked="0"/>
    </xf>
    <xf numFmtId="0" fontId="38" fillId="8" borderId="0" xfId="0" applyFont="1" applyFill="1"/>
    <xf numFmtId="0" fontId="38" fillId="9" borderId="0" xfId="0" applyFont="1" applyFill="1"/>
    <xf numFmtId="0" fontId="45" fillId="0" borderId="0" xfId="0" applyFont="1"/>
    <xf numFmtId="0" fontId="38" fillId="2" borderId="2" xfId="0" applyFont="1" applyFill="1" applyBorder="1"/>
    <xf numFmtId="0" fontId="38" fillId="2" borderId="3" xfId="0" applyFont="1" applyFill="1" applyBorder="1"/>
    <xf numFmtId="0" fontId="38" fillId="2" borderId="4" xfId="0" applyFont="1" applyFill="1" applyBorder="1"/>
    <xf numFmtId="0" fontId="45" fillId="8" borderId="0" xfId="0" applyFont="1" applyFill="1"/>
    <xf numFmtId="0" fontId="38" fillId="2" borderId="5" xfId="0" applyFont="1" applyFill="1" applyBorder="1"/>
    <xf numFmtId="0" fontId="38" fillId="4" borderId="14" xfId="0" applyFont="1" applyFill="1" applyBorder="1" applyAlignment="1">
      <alignment horizontal="left" indent="1"/>
    </xf>
    <xf numFmtId="0" fontId="38" fillId="5" borderId="0" xfId="0" applyFont="1" applyFill="1" applyAlignment="1">
      <alignment horizontal="left" vertical="center"/>
    </xf>
    <xf numFmtId="164" fontId="49" fillId="12" borderId="0" xfId="1" applyFont="1" applyFill="1" applyBorder="1" applyAlignment="1">
      <alignment horizontal="left" vertical="center"/>
    </xf>
    <xf numFmtId="165" fontId="49" fillId="12" borderId="0" xfId="1" applyNumberFormat="1" applyFont="1" applyFill="1" applyBorder="1" applyAlignment="1">
      <alignment horizontal="right" vertical="center" indent="1"/>
    </xf>
    <xf numFmtId="0" fontId="38" fillId="0" borderId="5" xfId="0" applyFont="1" applyBorder="1"/>
    <xf numFmtId="0" fontId="38" fillId="0" borderId="6" xfId="0" applyFont="1" applyBorder="1"/>
    <xf numFmtId="0" fontId="38" fillId="11" borderId="0" xfId="0" applyFont="1" applyFill="1" applyAlignment="1">
      <alignment horizontal="center" vertical="center"/>
    </xf>
    <xf numFmtId="0" fontId="38" fillId="5" borderId="0" xfId="0" applyFont="1" applyFill="1" applyAlignment="1">
      <alignment horizontal="center" vertical="center"/>
    </xf>
    <xf numFmtId="0" fontId="38" fillId="12" borderId="0" xfId="0" applyFont="1" applyFill="1" applyAlignment="1">
      <alignment horizontal="center" vertical="center"/>
    </xf>
    <xf numFmtId="0" fontId="38" fillId="4" borderId="14" xfId="0" applyFont="1" applyFill="1" applyBorder="1" applyAlignment="1" applyProtection="1">
      <alignment horizontal="left" indent="1"/>
      <protection locked="0"/>
    </xf>
    <xf numFmtId="165" fontId="49" fillId="12" borderId="0" xfId="1" applyNumberFormat="1" applyFont="1" applyFill="1" applyBorder="1" applyAlignment="1">
      <alignment horizontal="left" vertical="center"/>
    </xf>
    <xf numFmtId="166" fontId="45" fillId="4" borderId="14" xfId="0" applyNumberFormat="1" applyFont="1" applyFill="1" applyBorder="1" applyAlignment="1">
      <alignment horizontal="left" vertical="center" indent="1"/>
    </xf>
    <xf numFmtId="0" fontId="38" fillId="7" borderId="14" xfId="0" applyFont="1" applyFill="1" applyBorder="1" applyAlignment="1" applyProtection="1">
      <alignment horizontal="left" vertical="center" indent="1"/>
      <protection locked="0"/>
    </xf>
    <xf numFmtId="0" fontId="38" fillId="7" borderId="14" xfId="0" applyFont="1" applyFill="1" applyBorder="1" applyAlignment="1">
      <alignment horizontal="left" vertical="center" indent="1"/>
    </xf>
    <xf numFmtId="166" fontId="38" fillId="4" borderId="14" xfId="0" applyNumberFormat="1" applyFont="1" applyFill="1" applyBorder="1" applyAlignment="1">
      <alignment horizontal="left" vertical="center" indent="1"/>
    </xf>
    <xf numFmtId="165" fontId="38" fillId="4" borderId="14" xfId="1" applyNumberFormat="1" applyFont="1" applyFill="1" applyBorder="1" applyAlignment="1" applyProtection="1">
      <alignment vertical="center"/>
      <protection locked="0"/>
    </xf>
    <xf numFmtId="2" fontId="45" fillId="4" borderId="14" xfId="0" applyNumberFormat="1" applyFont="1" applyFill="1" applyBorder="1" applyAlignment="1">
      <alignment vertical="center"/>
    </xf>
    <xf numFmtId="166" fontId="45" fillId="4" borderId="14" xfId="0" applyNumberFormat="1" applyFont="1" applyFill="1" applyBorder="1" applyAlignment="1">
      <alignment vertical="center"/>
    </xf>
    <xf numFmtId="164" fontId="38" fillId="12" borderId="14" xfId="1" applyFont="1" applyFill="1" applyBorder="1" applyAlignment="1">
      <alignment vertical="center"/>
    </xf>
    <xf numFmtId="165" fontId="38" fillId="12" borderId="14" xfId="1" applyNumberFormat="1" applyFont="1" applyFill="1" applyBorder="1" applyAlignment="1" applyProtection="1">
      <alignment vertical="center"/>
    </xf>
    <xf numFmtId="0" fontId="52" fillId="15" borderId="10" xfId="0" applyFont="1" applyFill="1" applyBorder="1" applyAlignment="1">
      <alignment horizontal="center"/>
    </xf>
    <xf numFmtId="0" fontId="38" fillId="2" borderId="11" xfId="0" applyFont="1" applyFill="1" applyBorder="1"/>
    <xf numFmtId="164" fontId="49" fillId="12" borderId="1" xfId="1" applyFont="1" applyFill="1" applyBorder="1"/>
    <xf numFmtId="0" fontId="38" fillId="2" borderId="12" xfId="0" applyFont="1" applyFill="1" applyBorder="1"/>
    <xf numFmtId="0" fontId="38" fillId="2" borderId="10" xfId="0" applyFont="1" applyFill="1" applyBorder="1"/>
    <xf numFmtId="165" fontId="49" fillId="12" borderId="12" xfId="1" applyNumberFormat="1" applyFont="1" applyFill="1" applyBorder="1"/>
    <xf numFmtId="0" fontId="38" fillId="2" borderId="1" xfId="0" applyFont="1" applyFill="1" applyBorder="1"/>
    <xf numFmtId="165" fontId="38" fillId="4" borderId="14" xfId="1" applyNumberFormat="1" applyFont="1" applyFill="1" applyBorder="1" applyAlignment="1" applyProtection="1">
      <alignment horizontal="left" vertical="center" indent="1"/>
    </xf>
    <xf numFmtId="164" fontId="38" fillId="12" borderId="14" xfId="1" applyFont="1" applyFill="1" applyBorder="1" applyAlignment="1">
      <alignment horizontal="left" vertical="center" indent="1"/>
    </xf>
    <xf numFmtId="0" fontId="52" fillId="2" borderId="0" xfId="0" applyFont="1" applyFill="1" applyAlignment="1">
      <alignment horizontal="center" vertical="center" wrapText="1"/>
    </xf>
    <xf numFmtId="0" fontId="45" fillId="2" borderId="0" xfId="0" applyFont="1" applyFill="1" applyAlignment="1">
      <alignment vertical="center"/>
    </xf>
    <xf numFmtId="166" fontId="45" fillId="2" borderId="0" xfId="0" applyNumberFormat="1" applyFont="1" applyFill="1" applyAlignment="1">
      <alignment vertical="center"/>
    </xf>
    <xf numFmtId="2" fontId="45" fillId="2" borderId="0" xfId="0" applyNumberFormat="1" applyFont="1" applyFill="1" applyAlignment="1">
      <alignment vertical="center"/>
    </xf>
    <xf numFmtId="165" fontId="38" fillId="2" borderId="0" xfId="1" applyNumberFormat="1" applyFont="1" applyFill="1" applyBorder="1" applyAlignment="1" applyProtection="1">
      <alignment vertical="center"/>
    </xf>
    <xf numFmtId="0" fontId="49" fillId="2" borderId="0" xfId="0" applyFont="1" applyFill="1" applyAlignment="1">
      <alignment horizontal="center" vertical="center" wrapText="1"/>
    </xf>
    <xf numFmtId="168" fontId="38" fillId="12" borderId="14" xfId="1" applyNumberFormat="1" applyFont="1" applyFill="1" applyBorder="1" applyAlignment="1">
      <alignment horizontal="right" vertical="center" indent="1"/>
    </xf>
    <xf numFmtId="0" fontId="38" fillId="5" borderId="0" xfId="0" applyFont="1" applyFill="1"/>
    <xf numFmtId="165" fontId="49" fillId="2" borderId="0" xfId="1" applyNumberFormat="1" applyFont="1" applyFill="1" applyBorder="1"/>
    <xf numFmtId="0" fontId="38" fillId="2" borderId="18" xfId="0" applyFont="1" applyFill="1" applyBorder="1" applyAlignment="1">
      <alignment horizontal="left" vertical="center" indent="1"/>
    </xf>
    <xf numFmtId="0" fontId="49" fillId="2" borderId="18" xfId="0" applyFont="1" applyFill="1" applyBorder="1" applyAlignment="1">
      <alignment horizontal="left" vertical="center" indent="1"/>
    </xf>
    <xf numFmtId="0" fontId="38" fillId="14" borderId="18" xfId="0" applyFont="1" applyFill="1" applyBorder="1" applyAlignment="1">
      <alignment horizontal="left" vertical="center" indent="1"/>
    </xf>
    <xf numFmtId="0" fontId="38" fillId="0" borderId="18" xfId="0" applyFont="1" applyBorder="1" applyAlignment="1">
      <alignment horizontal="left" vertical="center" indent="1"/>
    </xf>
    <xf numFmtId="43" fontId="38" fillId="2" borderId="18" xfId="2" applyFont="1" applyFill="1" applyBorder="1" applyAlignment="1">
      <alignment horizontal="right" vertical="center" wrapText="1" indent="1"/>
    </xf>
    <xf numFmtId="2" fontId="38" fillId="2" borderId="18" xfId="0" applyNumberFormat="1" applyFont="1" applyFill="1" applyBorder="1" applyAlignment="1">
      <alignment horizontal="right" indent="1"/>
    </xf>
    <xf numFmtId="0" fontId="38" fillId="2" borderId="18" xfId="0" applyFont="1" applyFill="1" applyBorder="1" applyAlignment="1">
      <alignment horizontal="left" indent="1"/>
    </xf>
    <xf numFmtId="43" fontId="38" fillId="0" borderId="18" xfId="2" applyFont="1" applyFill="1" applyBorder="1" applyAlignment="1">
      <alignment horizontal="right" vertical="center" wrapText="1" indent="1"/>
    </xf>
    <xf numFmtId="43" fontId="49" fillId="2" borderId="18" xfId="0" applyNumberFormat="1" applyFont="1" applyFill="1" applyBorder="1" applyAlignment="1">
      <alignment horizontal="left" vertical="center" indent="1"/>
    </xf>
    <xf numFmtId="0" fontId="38" fillId="0" borderId="18" xfId="0" applyFont="1" applyBorder="1" applyAlignment="1">
      <alignment horizontal="left" indent="1"/>
    </xf>
    <xf numFmtId="2" fontId="38" fillId="0" borderId="18" xfId="0" applyNumberFormat="1" applyFont="1" applyBorder="1" applyAlignment="1">
      <alignment horizontal="right" indent="1"/>
    </xf>
    <xf numFmtId="166" fontId="38" fillId="5" borderId="18" xfId="0" applyNumberFormat="1" applyFont="1" applyFill="1" applyBorder="1" applyAlignment="1">
      <alignment horizontal="right" indent="1"/>
    </xf>
    <xf numFmtId="166" fontId="38" fillId="2" borderId="18" xfId="0" applyNumberFormat="1" applyFont="1" applyFill="1" applyBorder="1" applyAlignment="1">
      <alignment horizontal="right" indent="1"/>
    </xf>
    <xf numFmtId="0" fontId="45" fillId="0" borderId="18" xfId="0" applyFont="1" applyBorder="1" applyAlignment="1">
      <alignment horizontal="left" vertical="center" indent="1"/>
    </xf>
    <xf numFmtId="0" fontId="38" fillId="0" borderId="0" xfId="0" applyFont="1" applyAlignment="1">
      <alignment horizontal="left" indent="1"/>
    </xf>
    <xf numFmtId="0" fontId="38" fillId="2" borderId="19" xfId="0" applyFont="1" applyFill="1" applyBorder="1" applyAlignment="1">
      <alignment horizontal="left" indent="1"/>
    </xf>
    <xf numFmtId="2" fontId="38" fillId="2" borderId="19" xfId="0" applyNumberFormat="1" applyFont="1" applyFill="1" applyBorder="1" applyAlignment="1">
      <alignment horizontal="right" indent="1"/>
    </xf>
    <xf numFmtId="0" fontId="38" fillId="0" borderId="19" xfId="0" applyFont="1" applyBorder="1" applyAlignment="1">
      <alignment horizontal="left" indent="1"/>
    </xf>
    <xf numFmtId="0" fontId="38" fillId="6" borderId="19" xfId="0" applyFont="1" applyFill="1" applyBorder="1" applyAlignment="1">
      <alignment horizontal="left" indent="1"/>
    </xf>
    <xf numFmtId="0" fontId="38" fillId="6" borderId="20" xfId="0" applyFont="1" applyFill="1" applyBorder="1" applyAlignment="1">
      <alignment horizontal="left" indent="1"/>
    </xf>
    <xf numFmtId="166" fontId="38" fillId="0" borderId="18" xfId="0" applyNumberFormat="1" applyFont="1" applyBorder="1" applyAlignment="1">
      <alignment horizontal="right" indent="1"/>
    </xf>
    <xf numFmtId="2" fontId="38" fillId="0" borderId="19" xfId="0" applyNumberFormat="1" applyFont="1" applyBorder="1" applyAlignment="1">
      <alignment horizontal="right" indent="1"/>
    </xf>
    <xf numFmtId="0" fontId="38" fillId="0" borderId="20" xfId="0" applyFont="1" applyBorder="1" applyAlignment="1">
      <alignment horizontal="left" indent="1"/>
    </xf>
    <xf numFmtId="0" fontId="49" fillId="3" borderId="18" xfId="0" applyFont="1" applyFill="1" applyBorder="1" applyAlignment="1">
      <alignment horizontal="left" vertical="center" indent="1"/>
    </xf>
    <xf numFmtId="0" fontId="38" fillId="5" borderId="18" xfId="0" applyFont="1" applyFill="1" applyBorder="1" applyAlignment="1">
      <alignment horizontal="left" vertical="center" indent="1"/>
    </xf>
    <xf numFmtId="2" fontId="38" fillId="2" borderId="18" xfId="0" applyNumberFormat="1" applyFont="1" applyFill="1" applyBorder="1" applyAlignment="1">
      <alignment horizontal="right" vertical="center" indent="1"/>
    </xf>
    <xf numFmtId="2" fontId="38" fillId="0" borderId="18" xfId="0" applyNumberFormat="1" applyFont="1" applyBorder="1" applyAlignment="1">
      <alignment horizontal="right" vertical="center" indent="1"/>
    </xf>
    <xf numFmtId="0" fontId="38" fillId="2" borderId="18" xfId="0" applyFont="1" applyFill="1" applyBorder="1" applyAlignment="1">
      <alignment horizontal="right" vertical="center" indent="1"/>
    </xf>
    <xf numFmtId="0" fontId="55" fillId="14" borderId="0" xfId="21" applyFont="1" applyAlignment="1">
      <alignment horizontal="left" vertical="center" wrapText="1"/>
    </xf>
    <xf numFmtId="0" fontId="38" fillId="2" borderId="19" xfId="0" applyFont="1" applyFill="1" applyBorder="1" applyAlignment="1">
      <alignment horizontal="left" vertical="center" indent="1"/>
    </xf>
    <xf numFmtId="166" fontId="38" fillId="2" borderId="18" xfId="0" applyNumberFormat="1" applyFont="1" applyFill="1" applyBorder="1" applyAlignment="1">
      <alignment horizontal="right" vertical="center" indent="1"/>
    </xf>
    <xf numFmtId="2" fontId="38" fillId="2" borderId="19" xfId="0" applyNumberFormat="1" applyFont="1" applyFill="1" applyBorder="1" applyAlignment="1">
      <alignment horizontal="right" vertical="center" indent="1"/>
    </xf>
    <xf numFmtId="0" fontId="38" fillId="0" borderId="19" xfId="0" applyFont="1" applyBorder="1" applyAlignment="1">
      <alignment horizontal="left" vertical="center" indent="1"/>
    </xf>
    <xf numFmtId="166" fontId="38" fillId="0" borderId="18" xfId="0" applyNumberFormat="1" applyFont="1" applyBorder="1" applyAlignment="1">
      <alignment horizontal="right" vertical="center" indent="1"/>
    </xf>
    <xf numFmtId="2" fontId="38" fillId="0" borderId="19" xfId="0" applyNumberFormat="1" applyFont="1" applyBorder="1" applyAlignment="1">
      <alignment horizontal="right" vertical="center" indent="1"/>
    </xf>
    <xf numFmtId="0" fontId="38" fillId="0" borderId="20" xfId="0" applyFont="1" applyBorder="1" applyAlignment="1">
      <alignment horizontal="left" vertical="center" indent="1"/>
    </xf>
    <xf numFmtId="0" fontId="38" fillId="0" borderId="0" xfId="0" applyFont="1" applyAlignment="1">
      <alignment horizontal="left" vertical="center" indent="1"/>
    </xf>
    <xf numFmtId="2" fontId="38" fillId="2" borderId="0" xfId="0" applyNumberFormat="1" applyFont="1" applyFill="1"/>
    <xf numFmtId="0" fontId="38" fillId="2" borderId="0" xfId="0" applyFont="1" applyFill="1" applyAlignment="1">
      <alignment horizontal="left" vertical="center"/>
    </xf>
    <xf numFmtId="0" fontId="38" fillId="0" borderId="0" xfId="0" applyFont="1" applyAlignment="1">
      <alignment horizontal="left" vertical="center"/>
    </xf>
    <xf numFmtId="0" fontId="38" fillId="2" borderId="7" xfId="0" applyFont="1" applyFill="1" applyBorder="1"/>
    <xf numFmtId="0" fontId="38" fillId="2" borderId="9" xfId="0" applyFont="1" applyFill="1" applyBorder="1"/>
    <xf numFmtId="0" fontId="59" fillId="0" borderId="0" xfId="0" applyFont="1"/>
    <xf numFmtId="0" fontId="38" fillId="8" borderId="0" xfId="0" applyFont="1" applyFill="1" applyAlignment="1">
      <alignment wrapText="1"/>
    </xf>
    <xf numFmtId="0" fontId="38" fillId="2" borderId="3" xfId="0" applyFont="1" applyFill="1" applyBorder="1" applyAlignment="1">
      <alignment wrapText="1"/>
    </xf>
    <xf numFmtId="0" fontId="49" fillId="2" borderId="0" xfId="0" applyFont="1" applyFill="1" applyAlignment="1">
      <alignment vertical="center" wrapText="1"/>
    </xf>
    <xf numFmtId="0" fontId="38" fillId="2" borderId="0" xfId="0" applyFont="1" applyFill="1" applyAlignment="1">
      <alignment horizontal="left" vertical="center" wrapText="1"/>
    </xf>
    <xf numFmtId="0" fontId="49" fillId="2" borderId="0" xfId="0" applyFont="1" applyFill="1" applyAlignment="1">
      <alignment horizontal="center" vertical="center"/>
    </xf>
    <xf numFmtId="0" fontId="49" fillId="2" borderId="0" xfId="0" applyFont="1" applyFill="1" applyAlignment="1">
      <alignment wrapText="1"/>
    </xf>
    <xf numFmtId="0" fontId="60" fillId="2" borderId="0" xfId="0" applyFont="1" applyFill="1" applyAlignment="1">
      <alignment wrapText="1"/>
    </xf>
    <xf numFmtId="0" fontId="60" fillId="2" borderId="0" xfId="0" applyFont="1" applyFill="1"/>
    <xf numFmtId="0" fontId="38" fillId="0" borderId="0" xfId="0" applyFont="1" applyAlignment="1">
      <alignment wrapText="1"/>
    </xf>
    <xf numFmtId="0" fontId="5" fillId="0" borderId="0" xfId="0" applyFont="1"/>
    <xf numFmtId="0" fontId="0" fillId="6" borderId="0" xfId="0" applyFill="1" applyAlignment="1">
      <alignment wrapText="1"/>
    </xf>
    <xf numFmtId="0" fontId="1" fillId="2" borderId="0" xfId="0" applyFont="1" applyFill="1"/>
    <xf numFmtId="169" fontId="0" fillId="2" borderId="0" xfId="0" applyNumberFormat="1" applyFill="1"/>
    <xf numFmtId="2" fontId="0" fillId="2" borderId="0" xfId="0" applyNumberFormat="1" applyFill="1"/>
    <xf numFmtId="0" fontId="0" fillId="2" borderId="0" xfId="0" applyFill="1"/>
    <xf numFmtId="2" fontId="0" fillId="2" borderId="0" xfId="1" applyNumberFormat="1" applyFont="1" applyFill="1"/>
    <xf numFmtId="164" fontId="0" fillId="2" borderId="0" xfId="1" applyFont="1" applyFill="1"/>
    <xf numFmtId="165" fontId="0" fillId="2" borderId="0" xfId="1" applyNumberFormat="1" applyFont="1" applyFill="1"/>
    <xf numFmtId="0" fontId="36" fillId="0" borderId="0" xfId="18" applyFont="1">
      <alignment horizontal="left" vertical="center"/>
    </xf>
    <xf numFmtId="0" fontId="44" fillId="23" borderId="0" xfId="20" applyFont="1" applyAlignment="1">
      <alignment vertical="center"/>
    </xf>
    <xf numFmtId="0" fontId="36" fillId="0" borderId="0" xfId="18" applyFont="1" applyAlignment="1">
      <alignment vertical="center"/>
    </xf>
    <xf numFmtId="0" fontId="38" fillId="7" borderId="19" xfId="0" applyFont="1" applyFill="1" applyBorder="1" applyAlignment="1">
      <alignment horizontal="right" indent="1"/>
    </xf>
    <xf numFmtId="2" fontId="38" fillId="7" borderId="19" xfId="0" applyNumberFormat="1" applyFont="1" applyFill="1" applyBorder="1" applyAlignment="1">
      <alignment horizontal="right" indent="1"/>
    </xf>
    <xf numFmtId="2" fontId="38" fillId="7" borderId="18" xfId="0" applyNumberFormat="1" applyFont="1" applyFill="1" applyBorder="1" applyAlignment="1">
      <alignment horizontal="right" indent="1"/>
    </xf>
    <xf numFmtId="166" fontId="38" fillId="7" borderId="18" xfId="0" applyNumberFormat="1" applyFont="1" applyFill="1" applyBorder="1" applyAlignment="1">
      <alignment horizontal="right" indent="1"/>
    </xf>
    <xf numFmtId="0" fontId="38" fillId="7" borderId="18" xfId="0" applyFont="1" applyFill="1" applyBorder="1" applyAlignment="1">
      <alignment horizontal="right" indent="1"/>
    </xf>
    <xf numFmtId="167" fontId="38" fillId="7" borderId="18" xfId="2" applyNumberFormat="1" applyFont="1" applyFill="1" applyBorder="1" applyAlignment="1">
      <alignment horizontal="right" indent="1"/>
    </xf>
    <xf numFmtId="43" fontId="38" fillId="7" borderId="18" xfId="2" applyFont="1" applyFill="1" applyBorder="1" applyAlignment="1">
      <alignment horizontal="right" vertical="center" wrapText="1" indent="1"/>
    </xf>
    <xf numFmtId="2" fontId="38" fillId="7" borderId="19" xfId="0" applyNumberFormat="1" applyFont="1" applyFill="1" applyBorder="1" applyAlignment="1">
      <alignment horizontal="right" vertical="center" indent="1"/>
    </xf>
    <xf numFmtId="0" fontId="38" fillId="7" borderId="19" xfId="0" applyFont="1" applyFill="1" applyBorder="1" applyAlignment="1">
      <alignment horizontal="right" vertical="center" indent="1"/>
    </xf>
    <xf numFmtId="2" fontId="38" fillId="7" borderId="18" xfId="0" applyNumberFormat="1" applyFont="1" applyFill="1" applyBorder="1" applyAlignment="1">
      <alignment horizontal="right" vertical="center" indent="1"/>
    </xf>
    <xf numFmtId="166" fontId="38" fillId="7" borderId="18" xfId="0" applyNumberFormat="1" applyFont="1" applyFill="1" applyBorder="1" applyAlignment="1">
      <alignment horizontal="right" vertical="center" indent="1"/>
    </xf>
    <xf numFmtId="0" fontId="38" fillId="7" borderId="19" xfId="0" applyFont="1" applyFill="1" applyBorder="1" applyAlignment="1">
      <alignment horizontal="left" vertical="center" indent="1"/>
    </xf>
    <xf numFmtId="2" fontId="38" fillId="7" borderId="19" xfId="0" applyNumberFormat="1" applyFont="1" applyFill="1" applyBorder="1" applyAlignment="1">
      <alignment horizontal="left" vertical="center" indent="1"/>
    </xf>
    <xf numFmtId="0" fontId="38" fillId="7" borderId="18" xfId="0" applyFont="1" applyFill="1" applyBorder="1" applyAlignment="1">
      <alignment horizontal="right" vertical="center" indent="1"/>
    </xf>
    <xf numFmtId="166" fontId="38" fillId="5" borderId="18" xfId="0" applyNumberFormat="1" applyFont="1" applyFill="1" applyBorder="1" applyAlignment="1">
      <alignment horizontal="right" vertical="center" indent="1"/>
    </xf>
    <xf numFmtId="164" fontId="38" fillId="0" borderId="18" xfId="1" applyFont="1" applyFill="1" applyBorder="1" applyAlignment="1">
      <alignment horizontal="right" indent="1"/>
    </xf>
    <xf numFmtId="170" fontId="0" fillId="0" borderId="0" xfId="0" applyNumberFormat="1"/>
    <xf numFmtId="1" fontId="0" fillId="0" borderId="0" xfId="0" applyNumberFormat="1"/>
    <xf numFmtId="0" fontId="49" fillId="24" borderId="0" xfId="5" applyFont="1" applyFill="1" applyBorder="1" applyAlignment="1">
      <alignment horizontal="left" vertical="center" wrapText="1" indent="2"/>
    </xf>
    <xf numFmtId="0" fontId="49" fillId="26" borderId="0" xfId="9" applyFont="1" applyFill="1" applyBorder="1" applyAlignment="1">
      <alignment horizontal="center" vertical="center"/>
    </xf>
    <xf numFmtId="0" fontId="49" fillId="27" borderId="0" xfId="5" applyFont="1" applyFill="1" applyBorder="1" applyAlignment="1">
      <alignment horizontal="left" vertical="center" wrapText="1" indent="2"/>
    </xf>
    <xf numFmtId="0" fontId="49" fillId="28" borderId="0" xfId="5" applyFont="1" applyFill="1" applyBorder="1" applyAlignment="1">
      <alignment horizontal="left" vertical="center" wrapText="1" indent="2"/>
    </xf>
    <xf numFmtId="0" fontId="38" fillId="5" borderId="1" xfId="0" applyFont="1" applyFill="1" applyBorder="1" applyAlignment="1" applyProtection="1">
      <alignment vertical="center"/>
      <protection locked="0"/>
    </xf>
    <xf numFmtId="0" fontId="38" fillId="5" borderId="1" xfId="0" applyFont="1" applyFill="1" applyBorder="1" applyAlignment="1" applyProtection="1">
      <alignment horizontal="left" vertical="center"/>
      <protection locked="0"/>
    </xf>
    <xf numFmtId="0" fontId="23" fillId="0" borderId="1" xfId="0" applyFont="1" applyBorder="1" applyAlignment="1">
      <alignment horizontal="left" vertical="center"/>
    </xf>
    <xf numFmtId="0" fontId="39" fillId="14" borderId="0" xfId="0" applyFont="1" applyFill="1" applyAlignment="1">
      <alignment horizontal="left" vertical="center" wrapText="1"/>
    </xf>
    <xf numFmtId="0" fontId="45" fillId="14" borderId="0" xfId="0" applyFont="1" applyFill="1" applyAlignment="1">
      <alignment horizontal="left" vertical="center" indent="1"/>
    </xf>
    <xf numFmtId="0" fontId="45" fillId="14" borderId="14" xfId="0" applyFont="1" applyFill="1" applyBorder="1" applyAlignment="1">
      <alignment horizontal="left" vertical="center" indent="1"/>
    </xf>
    <xf numFmtId="2" fontId="45" fillId="14" borderId="14" xfId="0" applyNumberFormat="1" applyFont="1" applyFill="1" applyBorder="1" applyAlignment="1">
      <alignment horizontal="left" vertical="center" indent="1"/>
    </xf>
    <xf numFmtId="166" fontId="45" fillId="14" borderId="14" xfId="0" applyNumberFormat="1" applyFont="1" applyFill="1" applyBorder="1" applyAlignment="1">
      <alignment horizontal="left" vertical="center" indent="1"/>
    </xf>
    <xf numFmtId="0" fontId="45" fillId="14" borderId="14" xfId="0" applyFont="1" applyFill="1" applyBorder="1" applyAlignment="1">
      <alignment vertical="center"/>
    </xf>
    <xf numFmtId="0" fontId="55" fillId="26" borderId="0" xfId="0" applyFont="1" applyFill="1" applyAlignment="1">
      <alignment horizontal="left" vertical="center" wrapText="1" indent="1"/>
    </xf>
    <xf numFmtId="0" fontId="55" fillId="26" borderId="0" xfId="0" applyFont="1" applyFill="1" applyAlignment="1">
      <alignment horizontal="center" vertical="center" wrapText="1"/>
    </xf>
    <xf numFmtId="2" fontId="45" fillId="14" borderId="14" xfId="0" applyNumberFormat="1" applyFont="1" applyFill="1" applyBorder="1" applyAlignment="1">
      <alignment horizontal="right" vertical="center" indent="1"/>
    </xf>
    <xf numFmtId="2" fontId="45" fillId="14" borderId="14" xfId="0" applyNumberFormat="1" applyFont="1" applyFill="1" applyBorder="1" applyAlignment="1">
      <alignment horizontal="right" vertical="center"/>
    </xf>
    <xf numFmtId="166" fontId="45" fillId="14" borderId="14" xfId="0" applyNumberFormat="1" applyFont="1" applyFill="1" applyBorder="1" applyAlignment="1">
      <alignment vertical="center"/>
    </xf>
    <xf numFmtId="0" fontId="56" fillId="5" borderId="0" xfId="0" applyFont="1" applyFill="1" applyAlignment="1">
      <alignment horizontal="left" vertical="center" indent="1"/>
    </xf>
    <xf numFmtId="0" fontId="35" fillId="5" borderId="0" xfId="0" applyFont="1" applyFill="1"/>
    <xf numFmtId="0" fontId="22" fillId="26" borderId="0" xfId="0" applyFont="1" applyFill="1" applyAlignment="1">
      <alignment horizontal="left" vertical="center"/>
    </xf>
    <xf numFmtId="0" fontId="40" fillId="25" borderId="1" xfId="0" applyFont="1" applyFill="1" applyBorder="1" applyAlignment="1" applyProtection="1">
      <alignment horizontal="left" vertical="center"/>
      <protection locked="0"/>
    </xf>
    <xf numFmtId="0" fontId="40" fillId="0" borderId="1" xfId="0" applyFont="1" applyBorder="1" applyAlignment="1">
      <alignment horizontal="left" vertical="center"/>
    </xf>
    <xf numFmtId="0" fontId="38" fillId="14" borderId="0" xfId="0" applyFont="1" applyFill="1" applyAlignment="1">
      <alignment horizontal="left" vertical="center" indent="1"/>
    </xf>
    <xf numFmtId="0" fontId="49" fillId="26" borderId="0" xfId="5" applyFont="1" applyFill="1" applyBorder="1" applyAlignment="1">
      <alignment horizontal="left" vertical="center" wrapText="1" indent="2"/>
    </xf>
    <xf numFmtId="0" fontId="60" fillId="26" borderId="0" xfId="5" applyFont="1" applyFill="1" applyBorder="1" applyAlignment="1">
      <alignment horizontal="left" vertical="center" wrapText="1" indent="2"/>
    </xf>
    <xf numFmtId="0" fontId="38" fillId="14" borderId="0" xfId="0" applyFont="1" applyFill="1" applyAlignment="1">
      <alignment horizontal="left" vertical="center" wrapText="1" indent="4"/>
    </xf>
    <xf numFmtId="0" fontId="45" fillId="14" borderId="0" xfId="0" applyFont="1" applyFill="1" applyAlignment="1">
      <alignment horizontal="left" vertical="center" wrapText="1" indent="4"/>
    </xf>
    <xf numFmtId="0" fontId="49" fillId="14" borderId="1" xfId="0" applyFont="1" applyFill="1" applyBorder="1" applyAlignment="1">
      <alignment horizontal="center"/>
    </xf>
    <xf numFmtId="0" fontId="45" fillId="14" borderId="1" xfId="0" applyFont="1" applyFill="1" applyBorder="1" applyAlignment="1">
      <alignment horizontal="center" vertical="center"/>
    </xf>
    <xf numFmtId="0" fontId="45" fillId="14" borderId="1" xfId="0" applyFont="1" applyFill="1" applyBorder="1" applyAlignment="1">
      <alignment horizontal="left" vertical="center"/>
    </xf>
    <xf numFmtId="0" fontId="49" fillId="14" borderId="15" xfId="0" applyFont="1" applyFill="1" applyBorder="1" applyAlignment="1">
      <alignment vertical="center"/>
    </xf>
    <xf numFmtId="2" fontId="45" fillId="14" borderId="14" xfId="0" applyNumberFormat="1" applyFont="1" applyFill="1" applyBorder="1" applyAlignment="1">
      <alignment vertical="center"/>
    </xf>
    <xf numFmtId="169" fontId="45" fillId="14" borderId="14" xfId="0" applyNumberFormat="1" applyFont="1" applyFill="1" applyBorder="1" applyAlignment="1">
      <alignment horizontal="left" vertical="center" indent="1"/>
    </xf>
    <xf numFmtId="165" fontId="45" fillId="14" borderId="14" xfId="1" applyNumberFormat="1" applyFont="1" applyFill="1" applyBorder="1" applyAlignment="1">
      <alignment horizontal="left" vertical="center" indent="2"/>
    </xf>
    <xf numFmtId="1" fontId="45" fillId="14" borderId="14" xfId="0" applyNumberFormat="1" applyFont="1" applyFill="1" applyBorder="1" applyAlignment="1">
      <alignment horizontal="left" vertical="center" indent="1"/>
    </xf>
    <xf numFmtId="165" fontId="45" fillId="14" borderId="14" xfId="1" applyNumberFormat="1" applyFont="1" applyFill="1" applyBorder="1" applyAlignment="1" applyProtection="1">
      <alignment horizontal="left" vertical="center" indent="1"/>
    </xf>
    <xf numFmtId="0" fontId="55" fillId="26" borderId="0" xfId="21" applyFont="1" applyFill="1" applyAlignment="1">
      <alignment horizontal="left" vertical="center" wrapText="1" indent="1"/>
    </xf>
    <xf numFmtId="166" fontId="45" fillId="14" borderId="14" xfId="0" applyNumberFormat="1" applyFont="1" applyFill="1" applyBorder="1" applyAlignment="1">
      <alignment horizontal="right" vertical="center" indent="1"/>
    </xf>
    <xf numFmtId="164" fontId="38" fillId="14" borderId="14" xfId="1" applyFont="1" applyFill="1" applyBorder="1" applyAlignment="1" applyProtection="1">
      <alignment horizontal="right" vertical="center" indent="1"/>
    </xf>
    <xf numFmtId="166" fontId="45" fillId="14" borderId="14" xfId="0" applyNumberFormat="1" applyFont="1" applyFill="1" applyBorder="1" applyAlignment="1">
      <alignment horizontal="right" vertical="center"/>
    </xf>
    <xf numFmtId="0" fontId="45" fillId="14" borderId="0" xfId="0" applyFont="1" applyFill="1" applyAlignment="1">
      <alignment horizontal="center" vertical="center"/>
    </xf>
    <xf numFmtId="0" fontId="39" fillId="26" borderId="0" xfId="0" applyFont="1" applyFill="1" applyAlignment="1">
      <alignment horizontal="left" vertical="center" wrapText="1"/>
    </xf>
    <xf numFmtId="0" fontId="39" fillId="26" borderId="0" xfId="0" applyFont="1" applyFill="1" applyAlignment="1">
      <alignment horizontal="left" vertical="center" wrapText="1" indent="1"/>
    </xf>
    <xf numFmtId="0" fontId="49" fillId="26" borderId="0" xfId="0" applyFont="1" applyFill="1" applyAlignment="1">
      <alignment horizontal="left" vertical="center" wrapText="1"/>
    </xf>
    <xf numFmtId="0" fontId="49" fillId="26" borderId="0" xfId="0" applyFont="1" applyFill="1" applyAlignment="1">
      <alignment horizontal="left" vertical="center"/>
    </xf>
    <xf numFmtId="0" fontId="38" fillId="14" borderId="14" xfId="0" applyFont="1" applyFill="1" applyBorder="1" applyAlignment="1">
      <alignment horizontal="left" vertical="center" indent="1"/>
    </xf>
    <xf numFmtId="166" fontId="38" fillId="14" borderId="14" xfId="0" applyNumberFormat="1" applyFont="1" applyFill="1" applyBorder="1" applyAlignment="1">
      <alignment horizontal="left" vertical="center" indent="1"/>
    </xf>
    <xf numFmtId="2" fontId="38" fillId="14" borderId="14" xfId="0" applyNumberFormat="1" applyFont="1" applyFill="1" applyBorder="1" applyAlignment="1">
      <alignment horizontal="right" vertical="center" indent="1"/>
    </xf>
    <xf numFmtId="0" fontId="45" fillId="0" borderId="1" xfId="0" applyFont="1" applyBorder="1" applyAlignment="1">
      <alignment horizontal="left" vertical="center"/>
    </xf>
    <xf numFmtId="0" fontId="39" fillId="26" borderId="0" xfId="0" applyFont="1" applyFill="1" applyAlignment="1">
      <alignment horizontal="left" vertical="center"/>
    </xf>
    <xf numFmtId="0" fontId="38" fillId="2" borderId="22" xfId="0" applyFont="1" applyFill="1" applyBorder="1"/>
    <xf numFmtId="0" fontId="38" fillId="2" borderId="23" xfId="0" applyFont="1" applyFill="1" applyBorder="1"/>
    <xf numFmtId="0" fontId="62" fillId="23" borderId="0" xfId="20" applyFont="1" applyAlignment="1">
      <alignment horizontal="left" vertical="center" indent="1"/>
    </xf>
    <xf numFmtId="0" fontId="46" fillId="2" borderId="0" xfId="0" applyFont="1" applyFill="1"/>
    <xf numFmtId="0" fontId="62" fillId="23" borderId="0" xfId="20" applyFont="1">
      <alignment horizontal="center" vertical="center"/>
    </xf>
    <xf numFmtId="0" fontId="57" fillId="5" borderId="0" xfId="0" applyFont="1" applyFill="1" applyAlignment="1">
      <alignment horizontal="left" indent="1"/>
    </xf>
    <xf numFmtId="0" fontId="56" fillId="5" borderId="0" xfId="0" applyFont="1" applyFill="1" applyAlignment="1">
      <alignment horizontal="left" indent="1"/>
    </xf>
    <xf numFmtId="0" fontId="24" fillId="23" borderId="0" xfId="20" applyFont="1" applyAlignment="1">
      <alignment horizontal="left" vertical="center" indent="1"/>
    </xf>
    <xf numFmtId="0" fontId="0" fillId="6" borderId="0" xfId="0" applyFill="1" applyAlignment="1">
      <alignment vertical="top" wrapText="1"/>
    </xf>
    <xf numFmtId="0" fontId="66" fillId="0" borderId="0" xfId="0" applyFont="1" applyAlignment="1">
      <alignment wrapText="1"/>
    </xf>
    <xf numFmtId="0" fontId="66" fillId="0" borderId="0" xfId="0" applyFont="1"/>
    <xf numFmtId="0" fontId="66" fillId="0" borderId="0" xfId="0" applyFont="1" applyAlignment="1">
      <alignment vertical="top" wrapText="1"/>
    </xf>
    <xf numFmtId="0" fontId="66" fillId="0" borderId="0" xfId="22" applyNumberFormat="1" applyFont="1" applyFill="1" applyAlignment="1">
      <alignment wrapText="1"/>
    </xf>
    <xf numFmtId="0" fontId="66" fillId="0" borderId="0" xfId="22" applyFont="1" applyFill="1"/>
    <xf numFmtId="0" fontId="66" fillId="0" borderId="0" xfId="22" applyNumberFormat="1" applyFont="1" applyFill="1" applyAlignment="1">
      <alignment vertical="center" wrapText="1"/>
    </xf>
    <xf numFmtId="0" fontId="66" fillId="0" borderId="0" xfId="22" applyFont="1" applyFill="1" applyAlignment="1">
      <alignment wrapText="1"/>
    </xf>
    <xf numFmtId="0" fontId="38" fillId="11" borderId="1" xfId="0" applyFont="1" applyFill="1" applyBorder="1" applyAlignment="1" applyProtection="1">
      <alignment vertical="center"/>
      <protection locked="0"/>
    </xf>
    <xf numFmtId="0" fontId="52" fillId="0" borderId="0" xfId="0" applyFont="1" applyAlignment="1">
      <alignment horizontal="left" vertical="center"/>
    </xf>
    <xf numFmtId="0" fontId="57" fillId="0" borderId="0" xfId="0" applyFont="1" applyAlignment="1">
      <alignment horizontal="left" vertical="center"/>
    </xf>
    <xf numFmtId="0" fontId="38" fillId="5" borderId="1" xfId="0" applyFont="1" applyFill="1" applyBorder="1" applyAlignment="1">
      <alignment horizontal="left" vertical="center"/>
    </xf>
    <xf numFmtId="0" fontId="61" fillId="0" borderId="0" xfId="0" applyFont="1"/>
    <xf numFmtId="0" fontId="49" fillId="0" borderId="0" xfId="0" applyFont="1" applyAlignment="1">
      <alignment horizontal="right"/>
    </xf>
    <xf numFmtId="0" fontId="49" fillId="0" borderId="0" xfId="0" applyFont="1"/>
    <xf numFmtId="0" fontId="38" fillId="11" borderId="1" xfId="0" applyFont="1" applyFill="1" applyBorder="1" applyAlignment="1">
      <alignment vertical="center"/>
    </xf>
    <xf numFmtId="0" fontId="38" fillId="5" borderId="1" xfId="0" applyFont="1" applyFill="1" applyBorder="1" applyAlignment="1">
      <alignment vertical="center"/>
    </xf>
    <xf numFmtId="0" fontId="49" fillId="14" borderId="12" xfId="0" applyFont="1" applyFill="1" applyBorder="1" applyAlignment="1">
      <alignment horizontal="center"/>
    </xf>
    <xf numFmtId="0" fontId="49" fillId="14" borderId="10" xfId="0" applyFont="1" applyFill="1" applyBorder="1" applyAlignment="1">
      <alignment horizontal="center"/>
    </xf>
    <xf numFmtId="0" fontId="49" fillId="14" borderId="21" xfId="0" applyFont="1" applyFill="1" applyBorder="1" applyAlignment="1">
      <alignment horizontal="center"/>
    </xf>
    <xf numFmtId="0" fontId="45" fillId="14" borderId="12" xfId="0" applyFont="1" applyFill="1" applyBorder="1" applyAlignment="1">
      <alignment horizontal="left" vertical="center"/>
    </xf>
    <xf numFmtId="0" fontId="45" fillId="14" borderId="17" xfId="0" applyFont="1" applyFill="1" applyBorder="1" applyAlignment="1">
      <alignment horizontal="center" vertical="center"/>
    </xf>
    <xf numFmtId="0" fontId="38" fillId="5" borderId="12" xfId="0" applyFont="1" applyFill="1" applyBorder="1"/>
    <xf numFmtId="0" fontId="38" fillId="5" borderId="1" xfId="0" applyFont="1" applyFill="1" applyBorder="1"/>
    <xf numFmtId="0" fontId="38" fillId="4" borderId="13" xfId="0" applyFont="1" applyFill="1" applyBorder="1" applyAlignment="1">
      <alignment horizontal="left" vertical="center" indent="1"/>
    </xf>
    <xf numFmtId="0" fontId="38" fillId="26" borderId="0" xfId="0" applyFont="1" applyFill="1" applyAlignment="1">
      <alignment horizontal="left" vertical="center" wrapText="1" indent="1"/>
    </xf>
    <xf numFmtId="0" fontId="38" fillId="4" borderId="14" xfId="0" applyFont="1" applyFill="1" applyBorder="1"/>
    <xf numFmtId="0" fontId="45" fillId="14" borderId="1" xfId="0" applyFont="1" applyFill="1" applyBorder="1" applyAlignment="1" applyProtection="1">
      <alignment horizontal="left" vertical="center"/>
      <protection locked="0"/>
    </xf>
    <xf numFmtId="0" fontId="14" fillId="2" borderId="0" xfId="5" applyFill="1"/>
    <xf numFmtId="0" fontId="72" fillId="7" borderId="14" xfId="0" applyFont="1" applyFill="1" applyBorder="1" applyAlignment="1" applyProtection="1">
      <alignment horizontal="left" vertical="center" indent="1"/>
      <protection locked="0"/>
    </xf>
    <xf numFmtId="2" fontId="38" fillId="31" borderId="18" xfId="0" applyNumberFormat="1" applyFont="1" applyFill="1" applyBorder="1" applyAlignment="1">
      <alignment horizontal="right" indent="1"/>
    </xf>
    <xf numFmtId="2" fontId="38" fillId="31" borderId="19" xfId="0" applyNumberFormat="1" applyFont="1" applyFill="1" applyBorder="1" applyAlignment="1">
      <alignment horizontal="right" indent="1"/>
    </xf>
    <xf numFmtId="2" fontId="38" fillId="31" borderId="19" xfId="0" applyNumberFormat="1" applyFont="1" applyFill="1" applyBorder="1" applyAlignment="1">
      <alignment horizontal="right" vertical="center" indent="1"/>
    </xf>
    <xf numFmtId="0" fontId="38" fillId="31" borderId="18" xfId="0" applyFont="1" applyFill="1" applyBorder="1" applyAlignment="1">
      <alignment horizontal="left" vertical="center" indent="1"/>
    </xf>
    <xf numFmtId="0" fontId="38" fillId="31" borderId="18" xfId="0" applyFont="1" applyFill="1" applyBorder="1" applyAlignment="1">
      <alignment horizontal="right" vertical="center" indent="1"/>
    </xf>
    <xf numFmtId="0" fontId="38" fillId="32" borderId="0" xfId="0" applyFont="1" applyFill="1"/>
    <xf numFmtId="166" fontId="38" fillId="2" borderId="0" xfId="0" applyNumberFormat="1" applyFont="1" applyFill="1"/>
    <xf numFmtId="0" fontId="37" fillId="0" borderId="0" xfId="19" applyFont="1"/>
    <xf numFmtId="0" fontId="44" fillId="23" borderId="0" xfId="20" applyFont="1">
      <alignment horizontal="center" vertical="center"/>
    </xf>
    <xf numFmtId="0" fontId="73" fillId="2" borderId="0" xfId="0" applyFont="1" applyFill="1"/>
    <xf numFmtId="0" fontId="16" fillId="0" borderId="0" xfId="0" applyFont="1"/>
    <xf numFmtId="0" fontId="75" fillId="0" borderId="0" xfId="18" applyFont="1" applyAlignment="1">
      <alignment vertical="center"/>
    </xf>
    <xf numFmtId="0" fontId="66" fillId="0" borderId="0" xfId="0" quotePrefix="1" applyFont="1" applyAlignment="1">
      <alignment wrapText="1"/>
    </xf>
    <xf numFmtId="0" fontId="2" fillId="14" borderId="0" xfId="0" applyFont="1" applyFill="1"/>
    <xf numFmtId="0" fontId="0" fillId="14" borderId="0" xfId="0" applyFill="1"/>
    <xf numFmtId="0" fontId="38" fillId="24" borderId="18" xfId="0" applyFont="1" applyFill="1" applyBorder="1" applyAlignment="1">
      <alignment horizontal="left" indent="1"/>
    </xf>
    <xf numFmtId="0" fontId="69" fillId="24" borderId="18" xfId="0" applyFont="1" applyFill="1" applyBorder="1" applyAlignment="1">
      <alignment horizontal="left" indent="1"/>
    </xf>
    <xf numFmtId="2" fontId="38" fillId="24" borderId="18" xfId="0" applyNumberFormat="1" applyFont="1" applyFill="1" applyBorder="1" applyAlignment="1">
      <alignment horizontal="right" indent="1"/>
    </xf>
    <xf numFmtId="166" fontId="38" fillId="24" borderId="18" xfId="0" applyNumberFormat="1" applyFont="1" applyFill="1" applyBorder="1" applyAlignment="1">
      <alignment horizontal="right" indent="1"/>
    </xf>
    <xf numFmtId="2" fontId="69" fillId="24" borderId="18" xfId="0" applyNumberFormat="1" applyFont="1" applyFill="1" applyBorder="1" applyAlignment="1">
      <alignment horizontal="right" indent="1"/>
    </xf>
    <xf numFmtId="0" fontId="38" fillId="24" borderId="19" xfId="0" applyFont="1" applyFill="1" applyBorder="1" applyAlignment="1">
      <alignment horizontal="right" indent="1"/>
    </xf>
    <xf numFmtId="2" fontId="38" fillId="24" borderId="19" xfId="0" applyNumberFormat="1" applyFont="1" applyFill="1" applyBorder="1" applyAlignment="1">
      <alignment horizontal="right" indent="1"/>
    </xf>
    <xf numFmtId="2" fontId="74" fillId="24" borderId="19" xfId="0" applyNumberFormat="1" applyFont="1" applyFill="1" applyBorder="1" applyAlignment="1">
      <alignment horizontal="right" indent="1"/>
    </xf>
    <xf numFmtId="2" fontId="38" fillId="24" borderId="19" xfId="0" applyNumberFormat="1" applyFont="1" applyFill="1" applyBorder="1" applyAlignment="1">
      <alignment horizontal="right" vertical="center" indent="1"/>
    </xf>
    <xf numFmtId="0" fontId="38" fillId="24" borderId="19" xfId="0" applyFont="1" applyFill="1" applyBorder="1" applyAlignment="1">
      <alignment horizontal="right" vertical="center" indent="1"/>
    </xf>
    <xf numFmtId="0" fontId="38" fillId="8" borderId="19" xfId="0" applyFont="1" applyFill="1" applyBorder="1" applyAlignment="1">
      <alignment horizontal="left" vertical="center" indent="1"/>
    </xf>
    <xf numFmtId="0" fontId="38" fillId="8" borderId="20" xfId="0" applyFont="1" applyFill="1" applyBorder="1" applyAlignment="1">
      <alignment horizontal="left" vertical="center" indent="1"/>
    </xf>
    <xf numFmtId="2" fontId="74" fillId="24" borderId="19" xfId="0" applyNumberFormat="1" applyFont="1" applyFill="1" applyBorder="1" applyAlignment="1">
      <alignment horizontal="right" vertical="center" indent="1"/>
    </xf>
    <xf numFmtId="0" fontId="36" fillId="2" borderId="0" xfId="18" applyFont="1" applyFill="1" applyAlignment="1">
      <alignment vertical="center"/>
    </xf>
    <xf numFmtId="169" fontId="38" fillId="2" borderId="18" xfId="0" applyNumberFormat="1" applyFont="1" applyFill="1" applyBorder="1" applyAlignment="1">
      <alignment horizontal="right" vertical="center" indent="1"/>
    </xf>
    <xf numFmtId="169" fontId="38" fillId="0" borderId="18" xfId="0" applyNumberFormat="1" applyFont="1" applyBorder="1" applyAlignment="1">
      <alignment horizontal="right" vertical="center" indent="1"/>
    </xf>
    <xf numFmtId="0" fontId="76" fillId="2" borderId="19" xfId="0" applyFont="1" applyFill="1" applyBorder="1" applyAlignment="1">
      <alignment horizontal="left" indent="1"/>
    </xf>
    <xf numFmtId="0" fontId="76" fillId="2" borderId="19" xfId="0" applyFont="1" applyFill="1" applyBorder="1" applyAlignment="1">
      <alignment horizontal="left" vertical="center" indent="1"/>
    </xf>
    <xf numFmtId="0" fontId="66" fillId="0" borderId="0" xfId="22" applyNumberFormat="1" applyFont="1" applyFill="1" applyAlignment="1">
      <alignment vertical="top" wrapText="1"/>
    </xf>
    <xf numFmtId="0" fontId="45" fillId="31" borderId="18" xfId="0" applyFont="1" applyFill="1" applyBorder="1" applyAlignment="1">
      <alignment horizontal="left" vertical="center" indent="1"/>
    </xf>
    <xf numFmtId="0" fontId="63" fillId="0" borderId="0" xfId="19" applyFont="1"/>
    <xf numFmtId="0" fontId="64" fillId="0" borderId="0" xfId="18" applyFont="1">
      <alignment horizontal="left" vertical="center"/>
    </xf>
    <xf numFmtId="0" fontId="49" fillId="28" borderId="0" xfId="0" applyFont="1" applyFill="1" applyAlignment="1">
      <alignment horizontal="center" vertical="center"/>
    </xf>
    <xf numFmtId="0" fontId="38" fillId="5" borderId="0" xfId="0" applyFont="1" applyFill="1" applyAlignment="1">
      <alignment horizontal="left" vertical="center" wrapText="1"/>
    </xf>
    <xf numFmtId="0" fontId="48" fillId="5" borderId="0" xfId="5" applyFont="1" applyFill="1" applyBorder="1" applyAlignment="1" applyProtection="1">
      <alignment horizontal="center" vertical="center"/>
    </xf>
    <xf numFmtId="0" fontId="62" fillId="23" borderId="0" xfId="17" applyFont="1">
      <alignment horizontal="center" vertical="center"/>
    </xf>
    <xf numFmtId="0" fontId="38" fillId="14" borderId="0" xfId="0" applyFont="1" applyFill="1" applyAlignment="1">
      <alignment horizontal="left" vertical="center" wrapText="1" indent="2"/>
    </xf>
    <xf numFmtId="0" fontId="48" fillId="26" borderId="0" xfId="5" applyFont="1" applyFill="1" applyBorder="1" applyAlignment="1" applyProtection="1">
      <alignment horizontal="center" vertical="center"/>
    </xf>
    <xf numFmtId="0" fontId="47" fillId="26" borderId="0" xfId="5" applyFont="1" applyFill="1" applyBorder="1" applyAlignment="1" applyProtection="1">
      <alignment horizontal="center" vertical="center"/>
    </xf>
    <xf numFmtId="0" fontId="62" fillId="23" borderId="0" xfId="8" applyFont="1" applyFill="1" applyBorder="1">
      <alignment horizontal="center" vertical="center"/>
    </xf>
    <xf numFmtId="0" fontId="38" fillId="14" borderId="0" xfId="0" applyFont="1" applyFill="1" applyAlignment="1">
      <alignment horizontal="left" vertical="center" indent="2"/>
    </xf>
    <xf numFmtId="0" fontId="38" fillId="0" borderId="0" xfId="0" applyFont="1" applyAlignment="1">
      <alignment horizontal="left" wrapText="1"/>
    </xf>
    <xf numFmtId="0" fontId="49" fillId="26" borderId="0" xfId="9" applyFont="1" applyFill="1" applyBorder="1" applyAlignment="1">
      <alignment horizontal="center" vertical="center"/>
    </xf>
    <xf numFmtId="0" fontId="45" fillId="14" borderId="0" xfId="0" applyFont="1" applyFill="1" applyAlignment="1">
      <alignment horizontal="left" vertical="center" wrapText="1" indent="2"/>
    </xf>
    <xf numFmtId="0" fontId="49" fillId="24" borderId="0" xfId="0" applyFont="1" applyFill="1" applyAlignment="1">
      <alignment horizontal="center" vertical="center"/>
    </xf>
    <xf numFmtId="0" fontId="49" fillId="27" borderId="0" xfId="0" applyFont="1" applyFill="1" applyAlignment="1">
      <alignment horizontal="center" vertical="center"/>
    </xf>
    <xf numFmtId="0" fontId="38" fillId="14" borderId="0" xfId="0" applyFont="1" applyFill="1" applyAlignment="1">
      <alignment horizontal="left" vertical="top" wrapText="1" indent="2"/>
    </xf>
    <xf numFmtId="0" fontId="38" fillId="14" borderId="0" xfId="0" applyFont="1" applyFill="1" applyAlignment="1">
      <alignment horizontal="left" vertical="top" indent="2"/>
    </xf>
    <xf numFmtId="0" fontId="63" fillId="0" borderId="0" xfId="19" applyFont="1" applyAlignment="1">
      <alignment vertical="center"/>
    </xf>
    <xf numFmtId="0" fontId="62" fillId="23" borderId="0" xfId="20" applyFont="1" applyAlignment="1">
      <alignment horizontal="left" vertical="center" indent="1"/>
    </xf>
    <xf numFmtId="0" fontId="62" fillId="29" borderId="0" xfId="20" applyFont="1" applyFill="1" applyAlignment="1">
      <alignment horizontal="left" vertical="center" indent="1"/>
    </xf>
    <xf numFmtId="0" fontId="49" fillId="14" borderId="1" xfId="0" applyFont="1" applyFill="1" applyBorder="1" applyAlignment="1">
      <alignment horizontal="right" vertical="center" wrapText="1" indent="6"/>
    </xf>
    <xf numFmtId="0" fontId="38" fillId="5" borderId="1" xfId="0" applyFont="1" applyFill="1" applyBorder="1" applyAlignment="1" applyProtection="1">
      <alignment horizontal="left" vertical="top"/>
      <protection locked="0"/>
    </xf>
    <xf numFmtId="0" fontId="49" fillId="14" borderId="1" xfId="0" applyFont="1" applyFill="1" applyBorder="1" applyAlignment="1">
      <alignment horizontal="left" vertical="center" wrapText="1" indent="3"/>
    </xf>
    <xf numFmtId="0" fontId="38" fillId="5" borderId="1" xfId="0" applyFont="1" applyFill="1" applyBorder="1" applyAlignment="1">
      <alignment horizontal="left" vertical="center" wrapText="1" indent="1"/>
    </xf>
    <xf numFmtId="0" fontId="49" fillId="14" borderId="16" xfId="0" applyFont="1" applyFill="1" applyBorder="1" applyAlignment="1">
      <alignment horizontal="right" vertical="center" wrapText="1" indent="3"/>
    </xf>
    <xf numFmtId="0" fontId="49" fillId="14" borderId="17" xfId="0" applyFont="1" applyFill="1" applyBorder="1" applyAlignment="1">
      <alignment horizontal="right" vertical="center" wrapText="1" indent="3"/>
    </xf>
    <xf numFmtId="0" fontId="49" fillId="14" borderId="1" xfId="0" applyFont="1" applyFill="1" applyBorder="1" applyAlignment="1">
      <alignment horizontal="right" vertical="center" wrapText="1" indent="3"/>
    </xf>
    <xf numFmtId="0" fontId="27" fillId="0" borderId="0" xfId="18">
      <alignment horizontal="left" vertical="center"/>
    </xf>
    <xf numFmtId="0" fontId="28" fillId="0" borderId="0" xfId="19"/>
    <xf numFmtId="0" fontId="62" fillId="23" borderId="0" xfId="20" applyFont="1">
      <alignment horizontal="center" vertical="center"/>
    </xf>
    <xf numFmtId="0" fontId="62" fillId="23" borderId="0" xfId="0" applyFont="1" applyFill="1" applyAlignment="1">
      <alignment horizontal="left" vertical="center" indent="1"/>
    </xf>
    <xf numFmtId="0" fontId="45" fillId="14" borderId="0" xfId="0" applyFont="1" applyFill="1" applyAlignment="1">
      <alignment horizontal="left" vertical="center" wrapText="1" indent="1"/>
    </xf>
    <xf numFmtId="0" fontId="38" fillId="14" borderId="0" xfId="0" applyFont="1" applyFill="1" applyAlignment="1">
      <alignment horizontal="left" vertical="center" wrapText="1" indent="1"/>
    </xf>
    <xf numFmtId="0" fontId="62" fillId="23" borderId="0" xfId="20" applyFont="1" applyAlignment="1">
      <alignment horizontal="left" vertical="center" indent="3"/>
    </xf>
    <xf numFmtId="0" fontId="38" fillId="14" borderId="0" xfId="0" applyFont="1" applyFill="1" applyAlignment="1">
      <alignment horizontal="left" vertical="center" wrapText="1" indent="3"/>
    </xf>
    <xf numFmtId="0" fontId="62" fillId="23" borderId="8" xfId="20" applyFont="1" applyBorder="1" applyAlignment="1">
      <alignment horizontal="left" vertical="center" indent="1"/>
    </xf>
    <xf numFmtId="0" fontId="52" fillId="2" borderId="0" xfId="0" applyFont="1" applyFill="1" applyAlignment="1">
      <alignment horizontal="center" vertical="center" wrapText="1"/>
    </xf>
    <xf numFmtId="0" fontId="37" fillId="0" borderId="0" xfId="19" applyFont="1"/>
    <xf numFmtId="0" fontId="44" fillId="23" borderId="0" xfId="20" applyFont="1" applyAlignment="1">
      <alignment horizontal="left" vertical="center"/>
    </xf>
    <xf numFmtId="169" fontId="45" fillId="14" borderId="14" xfId="0" applyNumberFormat="1" applyFont="1" applyFill="1" applyBorder="1" applyAlignment="1">
      <alignment horizontal="right" vertical="center"/>
    </xf>
  </cellXfs>
  <cellStyles count="23">
    <cellStyle name="A0" xfId="11" xr:uid="{3C43A5F4-5E9D-0743-B6AC-00DB07BA6BD4}"/>
    <cellStyle name="A1" xfId="7" xr:uid="{F671FD6A-993D-D74C-B849-B8FC3F416C2D}"/>
    <cellStyle name="A4" xfId="12" xr:uid="{3F44E1AC-CBF9-744F-A8BC-8516E5AD97C0}"/>
    <cellStyle name="A7" xfId="17" xr:uid="{9D06A036-A067-D842-B7F1-B4A4C035111C}"/>
    <cellStyle name="A8" xfId="14" xr:uid="{D5DF4926-0C99-FE40-B5D5-2A6F049FD6ED}"/>
    <cellStyle name="B1" xfId="8" xr:uid="{486D00F6-7D35-6B4F-96D2-AF1AA4C4E3D9}"/>
    <cellStyle name="B2" xfId="9" xr:uid="{A632019E-2B53-4445-889A-059EF5D8B471}"/>
    <cellStyle name="C1" xfId="18" xr:uid="{E0DFF238-8517-234E-9037-C49E5E3EBCCD}"/>
    <cellStyle name="C2" xfId="19" xr:uid="{3989CF28-B625-344F-B7DB-631130BB83E6}"/>
    <cellStyle name="C3" xfId="20" xr:uid="{09273DCD-0A8A-DD43-BDA3-46568F303578}"/>
    <cellStyle name="C4" xfId="21" xr:uid="{17E6B348-4A7D-8444-8541-23E63C7E2EDC}"/>
    <cellStyle name="Comma 2" xfId="2" xr:uid="{A7AF2FBD-9A58-4898-830A-4AFB46F37E80}"/>
    <cellStyle name="God" xfId="3" builtinId="26"/>
    <cellStyle name="Komma" xfId="1" builtinId="3"/>
    <cellStyle name="Link" xfId="5" builtinId="8"/>
    <cellStyle name="Neutral" xfId="22" builtinId="28"/>
    <cellStyle name="Normal" xfId="0" builtinId="0"/>
    <cellStyle name="Normal 2" xfId="4" xr:uid="{52757B34-3234-40E2-9670-34983607BEDD}"/>
    <cellStyle name="Procent" xfId="6" builtinId="5"/>
    <cellStyle name="Style 1" xfId="13" xr:uid="{F28522BD-3024-BE42-841F-8D4C988AD6F4}"/>
    <cellStyle name="Style 2" xfId="10" xr:uid="{07FEE378-1623-FD41-9088-93055BB459E7}"/>
    <cellStyle name="Style 3" xfId="15" xr:uid="{6739A804-CD59-8948-8693-29D63BA7BB31}"/>
    <cellStyle name="Style 4" xfId="16" xr:uid="{2DD85A9E-D091-7C49-AA6A-4DEB43AA6BF5}"/>
  </cellStyles>
  <dxfs count="0"/>
  <tableStyles count="0" defaultTableStyle="TableStyleMedium2" defaultPivotStyle="PivotStyleLight16"/>
  <colors>
    <mruColors>
      <color rgb="FFF1D9FB"/>
      <color rgb="FF61AC1E"/>
      <color rgb="FF9C86CD"/>
      <color rgb="FFA0CDC1"/>
      <color rgb="FF69A54F"/>
      <color rgb="FFBEE395"/>
      <color rgb="FF61ACAE"/>
      <color rgb="FFC285FF"/>
      <color rgb="FF16D01A"/>
      <color rgb="FFEAB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US"/>
              <a:t>tCO2e by Scope Category</a:t>
            </a:r>
          </a:p>
        </c:rich>
      </c:tx>
      <c:layout>
        <c:manualLayout>
          <c:xMode val="edge"/>
          <c:yMode val="edge"/>
          <c:x val="0.3876556983967180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manualLayout>
          <c:layoutTarget val="inner"/>
          <c:xMode val="edge"/>
          <c:yMode val="edge"/>
          <c:x val="6.3576728809384989E-2"/>
          <c:y val="8.856989392144822E-2"/>
          <c:w val="0.91044807718006793"/>
          <c:h val="0.68075260124688131"/>
        </c:manualLayout>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Summary!$E$21:$E$34</c15:sqref>
                  </c15:fullRef>
                </c:ext>
              </c:extLst>
              <c:f>(Summary!$E$22:$E$24,Summary!$E$26:$E$27,Summary!$E$29:$E$34)</c:f>
              <c:strCache>
                <c:ptCount val="11"/>
                <c:pt idx="0">
                  <c:v>Vav 1 - Brennievni - brenning á føstum skipanum</c:v>
                </c:pt>
                <c:pt idx="1">
                  <c:v>Vav 1 - Brennievni - brenning á flytførum skipanum</c:v>
                </c:pt>
                <c:pt idx="2">
                  <c:v>Vav 1 - Kølievni</c:v>
                </c:pt>
                <c:pt idx="3">
                  <c:v>Vav 2 - Keypt el</c:v>
                </c:pt>
                <c:pt idx="4">
                  <c:v>Vav 2 - Fjarhiti</c:v>
                </c:pt>
                <c:pt idx="5">
                  <c:v>Vav 3 - Rávøruveiting og -flutningur</c:v>
                </c:pt>
                <c:pt idx="6">
                  <c:v>Vav 3 - Liðugvøruveiting og -flutningur</c:v>
                </c:pt>
                <c:pt idx="7">
                  <c:v>Vav 3 - Arbeiðsferðing</c:v>
                </c:pt>
                <c:pt idx="8">
                  <c:v>Vav 3 - Starvsfólkaferðing</c:v>
                </c:pt>
                <c:pt idx="9">
                  <c:v>Vav 3 - Burturkast frá virksemi</c:v>
                </c:pt>
                <c:pt idx="10">
                  <c:v>Vav 3 - Virksemi tengt at brennievni og orku</c:v>
                </c:pt>
              </c:strCache>
            </c:strRef>
          </c:cat>
          <c:val>
            <c:numRef>
              <c:extLst>
                <c:ext xmlns:c15="http://schemas.microsoft.com/office/drawing/2012/chart" uri="{02D57815-91ED-43cb-92C2-25804820EDAC}">
                  <c15:fullRef>
                    <c15:sqref>Summary!$F$21:$F$34</c15:sqref>
                  </c15:fullRef>
                </c:ext>
              </c:extLst>
              <c:f>(Summary!$F$22:$F$24,Summary!$F$26:$F$27,Summary!$F$29:$F$34)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AB4-40BB-8F86-79111C63DB65}"/>
            </c:ext>
          </c:extLst>
        </c:ser>
        <c:dLbls>
          <c:showLegendKey val="0"/>
          <c:showVal val="0"/>
          <c:showCatName val="0"/>
          <c:showSerName val="0"/>
          <c:showPercent val="0"/>
          <c:showBubbleSize val="0"/>
        </c:dLbls>
        <c:gapWidth val="219"/>
        <c:overlap val="-27"/>
        <c:axId val="1772772367"/>
        <c:axId val="1772765295"/>
      </c:barChart>
      <c:catAx>
        <c:axId val="1772772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1772765295"/>
        <c:crosses val="autoZero"/>
        <c:auto val="1"/>
        <c:lblAlgn val="ctr"/>
        <c:lblOffset val="100"/>
        <c:noMultiLvlLbl val="0"/>
      </c:catAx>
      <c:valAx>
        <c:axId val="1772765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1772772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pieChart>
        <c:varyColors val="1"/>
        <c:ser>
          <c:idx val="0"/>
          <c:order val="0"/>
          <c:tx>
            <c:strRef>
              <c:f>Summary!$H$14</c:f>
              <c:strCache>
                <c:ptCount val="1"/>
                <c:pt idx="0">
                  <c:v> tCO2e by Scope - 2023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8A-459E-B022-BCBA8C78CD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8A-459E-B022-BCBA8C78CD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8A-459E-B022-BCBA8C78CD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F8A-459E-B022-BCBA8C78CD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F8A-459E-B022-BCBA8C78CD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F8A-459E-B022-BCBA8C78CDA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F8A-459E-B022-BCBA8C78CDA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F8A-459E-B022-BCBA8C78CDA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F8A-459E-B022-BCBA8C78CDA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F8A-459E-B022-BCBA8C78CDA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38E-4B4A-8215-394A0298605E}"/>
              </c:ext>
            </c:extLst>
          </c:dPt>
          <c:dLbls>
            <c:dLbl>
              <c:idx val="0"/>
              <c:layout>
                <c:manualLayout>
                  <c:x val="0.12398689598379305"/>
                  <c:y val="-2.64148737675083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8A-459E-B022-BCBA8C78CDA0}"/>
                </c:ext>
              </c:extLst>
            </c:dLbl>
            <c:dLbl>
              <c:idx val="1"/>
              <c:layout>
                <c:manualLayout>
                  <c:x val="-5.666454589910213E-2"/>
                  <c:y val="-3.7536004112191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8A-459E-B022-BCBA8C78CDA0}"/>
                </c:ext>
              </c:extLst>
            </c:dLbl>
            <c:dLbl>
              <c:idx val="2"/>
              <c:layout>
                <c:manualLayout>
                  <c:x val="1.1213998256658701E-2"/>
                  <c:y val="-3.058529764676444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8A-459E-B022-BCBA8C78CDA0}"/>
                </c:ext>
              </c:extLst>
            </c:dLbl>
            <c:dLbl>
              <c:idx val="3"/>
              <c:layout>
                <c:manualLayout>
                  <c:x val="-2.4014106938103266E-2"/>
                  <c:y val="-3.7536004112191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8A-459E-B022-BCBA8C78CDA0}"/>
                </c:ext>
              </c:extLst>
            </c:dLbl>
            <c:dLbl>
              <c:idx val="4"/>
              <c:layout>
                <c:manualLayout>
                  <c:x val="-6.2464294925069067E-2"/>
                  <c:y val="-2.087401138514760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F8A-459E-B022-BCBA8C78CDA0}"/>
                </c:ext>
              </c:extLst>
            </c:dLbl>
            <c:dLbl>
              <c:idx val="5"/>
              <c:layout>
                <c:manualLayout>
                  <c:x val="4.3005215139736569E-2"/>
                  <c:y val="-3.47557215260204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F8A-459E-B022-BCBA8C78CDA0}"/>
                </c:ext>
              </c:extLst>
            </c:dLbl>
            <c:dLbl>
              <c:idx val="6"/>
              <c:layout>
                <c:manualLayout>
                  <c:x val="7.2863182347492145E-2"/>
                  <c:y val="-1.11233195435695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F8A-459E-B022-BCBA8C78CDA0}"/>
                </c:ext>
              </c:extLst>
            </c:dLbl>
            <c:dLbl>
              <c:idx val="7"/>
              <c:layout>
                <c:manualLayout>
                  <c:x val="0.13000151818452194"/>
                  <c:y val="0.1459626465750749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F8A-459E-B022-BCBA8C78CDA0}"/>
                </c:ext>
              </c:extLst>
            </c:dLbl>
            <c:dLbl>
              <c:idx val="8"/>
              <c:layout>
                <c:manualLayout>
                  <c:x val="0.13429756091884532"/>
                  <c:y val="1.04238704992533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F8A-459E-B022-BCBA8C78CDA0}"/>
                </c:ext>
              </c:extLst>
            </c:dLbl>
            <c:dLbl>
              <c:idx val="9"/>
              <c:layout>
                <c:manualLayout>
                  <c:x val="-0.15504547382105935"/>
                  <c:y val="0.1181598207133679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7F8A-459E-B022-BCBA8C78CDA0}"/>
                </c:ext>
              </c:extLst>
            </c:dLbl>
            <c:dLbl>
              <c:idx val="10"/>
              <c:layout>
                <c:manualLayout>
                  <c:x val="-0.14602364200288862"/>
                  <c:y val="4.86527560591004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638E-4B4A-8215-394A0298605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Summary!$E$21:$E$34</c15:sqref>
                  </c15:fullRef>
                </c:ext>
              </c:extLst>
              <c:f>(Summary!$E$22:$E$24,Summary!$E$26:$E$27,Summary!$E$29:$E$34)</c:f>
              <c:strCache>
                <c:ptCount val="11"/>
                <c:pt idx="0">
                  <c:v>Vav 1 - Brennievni - brenning á føstum skipanum</c:v>
                </c:pt>
                <c:pt idx="1">
                  <c:v>Vav 1 - Brennievni - brenning á flytførum skipanum</c:v>
                </c:pt>
                <c:pt idx="2">
                  <c:v>Vav 1 - Kølievni</c:v>
                </c:pt>
                <c:pt idx="3">
                  <c:v>Vav 2 - Keypt el</c:v>
                </c:pt>
                <c:pt idx="4">
                  <c:v>Vav 2 - Fjarhiti</c:v>
                </c:pt>
                <c:pt idx="5">
                  <c:v>Vav 3 - Rávøruveiting og -flutningur</c:v>
                </c:pt>
                <c:pt idx="6">
                  <c:v>Vav 3 - Liðugvøruveiting og -flutningur</c:v>
                </c:pt>
                <c:pt idx="7">
                  <c:v>Vav 3 - Arbeiðsferðing</c:v>
                </c:pt>
                <c:pt idx="8">
                  <c:v>Vav 3 - Starvsfólkaferðing</c:v>
                </c:pt>
                <c:pt idx="9">
                  <c:v>Vav 3 - Burturkast frá virksemi</c:v>
                </c:pt>
                <c:pt idx="10">
                  <c:v>Vav 3 - Virksemi tengt at brennievni og orku</c:v>
                </c:pt>
              </c:strCache>
            </c:strRef>
          </c:cat>
          <c:val>
            <c:numRef>
              <c:extLst>
                <c:ext xmlns:c15="http://schemas.microsoft.com/office/drawing/2012/chart" uri="{02D57815-91ED-43cb-92C2-25804820EDAC}">
                  <c15:fullRef>
                    <c15:sqref>Summary!$F$21:$F$34</c15:sqref>
                  </c15:fullRef>
                </c:ext>
              </c:extLst>
              <c:f>(Summary!$F$22:$F$24,Summary!$F$26:$F$27,Summary!$F$29:$F$34)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E441-4470-A56E-2A70401D82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1621554125591551"/>
          <c:y val="0.11149309656232981"/>
          <c:w val="0.47450766720943865"/>
          <c:h val="0.78819845831416857"/>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US"/>
              <a:t>tCO2e by Scope and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barChart>
        <c:barDir val="col"/>
        <c:grouping val="stacked"/>
        <c:varyColors val="0"/>
        <c:ser>
          <c:idx val="0"/>
          <c:order val="0"/>
          <c:tx>
            <c:strRef>
              <c:f>Summary!$K$39</c:f>
              <c:strCache>
                <c:ptCount val="1"/>
                <c:pt idx="0">
                  <c:v>Vav 1 - Brennievni - brenning á føstum skipanum</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Summary!$K$40:$K$42</c:f>
              <c:numCache>
                <c:formatCode>_(* #,##0_);_(* \(#,##0\);_(* "-"??_);_(@_)</c:formatCode>
                <c:ptCount val="3"/>
                <c:pt idx="0">
                  <c:v>0</c:v>
                </c:pt>
              </c:numCache>
            </c:numRef>
          </c:val>
          <c:extLst>
            <c:ext xmlns:c16="http://schemas.microsoft.com/office/drawing/2014/chart" uri="{C3380CC4-5D6E-409C-BE32-E72D297353CC}">
              <c16:uniqueId val="{00000000-9D51-4D3E-8098-6C20E5451652}"/>
            </c:ext>
          </c:extLst>
        </c:ser>
        <c:ser>
          <c:idx val="1"/>
          <c:order val="1"/>
          <c:tx>
            <c:strRef>
              <c:f>Summary!$L$39</c:f>
              <c:strCache>
                <c:ptCount val="1"/>
                <c:pt idx="0">
                  <c:v>Vav 1 - Brennievni - brenning á flytførum skipanum</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Summary!$L$40:$L$42</c:f>
              <c:numCache>
                <c:formatCode>_(* #,##0_);_(* \(#,##0\);_(* "-"??_);_(@_)</c:formatCode>
                <c:ptCount val="3"/>
                <c:pt idx="0">
                  <c:v>0</c:v>
                </c:pt>
              </c:numCache>
            </c:numRef>
          </c:val>
          <c:extLst>
            <c:ext xmlns:c16="http://schemas.microsoft.com/office/drawing/2014/chart" uri="{C3380CC4-5D6E-409C-BE32-E72D297353CC}">
              <c16:uniqueId val="{00000001-9D51-4D3E-8098-6C20E5451652}"/>
            </c:ext>
          </c:extLst>
        </c:ser>
        <c:ser>
          <c:idx val="2"/>
          <c:order val="2"/>
          <c:tx>
            <c:strRef>
              <c:f>Summary!$M$39</c:f>
              <c:strCache>
                <c:ptCount val="1"/>
                <c:pt idx="0">
                  <c:v>Vav 1 - Kølievni</c:v>
                </c:pt>
              </c:strCache>
            </c:strRef>
          </c:tx>
          <c:spPr>
            <a:solidFill>
              <a:schemeClr val="accent3"/>
            </a:solidFill>
            <a:ln>
              <a:noFill/>
            </a:ln>
            <a:effectLst/>
          </c:spPr>
          <c:invertIfNegative val="0"/>
          <c:dLbls>
            <c:dLbl>
              <c:idx val="0"/>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extLst>
                <c:ext xmlns:c16="http://schemas.microsoft.com/office/drawing/2014/chart" uri="{C3380CC4-5D6E-409C-BE32-E72D297353CC}">
                  <c16:uniqueId val="{00000000-172F-486F-8C58-3E2E0A850A66}"/>
                </c:ext>
              </c:extLst>
            </c:dLbl>
            <c:numFmt formatCode="#,##0.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Summary!$M$40:$M$42</c:f>
              <c:numCache>
                <c:formatCode>_(* #,##0_);_(* \(#,##0\);_(* "-"??_);_(@_)</c:formatCode>
                <c:ptCount val="3"/>
                <c:pt idx="0">
                  <c:v>0</c:v>
                </c:pt>
              </c:numCache>
            </c:numRef>
          </c:val>
          <c:extLst>
            <c:ext xmlns:c16="http://schemas.microsoft.com/office/drawing/2014/chart" uri="{C3380CC4-5D6E-409C-BE32-E72D297353CC}">
              <c16:uniqueId val="{00000002-9D51-4D3E-8098-6C20E5451652}"/>
            </c:ext>
          </c:extLst>
        </c:ser>
        <c:ser>
          <c:idx val="3"/>
          <c:order val="3"/>
          <c:tx>
            <c:strRef>
              <c:f>Summary!$N$39</c:f>
              <c:strCache>
                <c:ptCount val="1"/>
                <c:pt idx="0">
                  <c:v>Vav 2 - Keypt el</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Summary!$N$40:$N$42</c:f>
              <c:numCache>
                <c:formatCode>_(* #,##0_);_(* \(#,##0\);_(* "-"??_);_(@_)</c:formatCode>
                <c:ptCount val="3"/>
                <c:pt idx="1">
                  <c:v>0</c:v>
                </c:pt>
              </c:numCache>
            </c:numRef>
          </c:val>
          <c:extLst>
            <c:ext xmlns:c16="http://schemas.microsoft.com/office/drawing/2014/chart" uri="{C3380CC4-5D6E-409C-BE32-E72D297353CC}">
              <c16:uniqueId val="{00000003-9D51-4D3E-8098-6C20E5451652}"/>
            </c:ext>
          </c:extLst>
        </c:ser>
        <c:ser>
          <c:idx val="4"/>
          <c:order val="4"/>
          <c:tx>
            <c:strRef>
              <c:f>Summary!$O$39</c:f>
              <c:strCache>
                <c:ptCount val="1"/>
                <c:pt idx="0">
                  <c:v>Vav 2 - Fjarhiti</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Summary!$O$40:$O$42</c:f>
              <c:numCache>
                <c:formatCode>_(* #,##0_);_(* \(#,##0\);_(* "-"??_);_(@_)</c:formatCode>
                <c:ptCount val="3"/>
                <c:pt idx="1">
                  <c:v>0</c:v>
                </c:pt>
              </c:numCache>
            </c:numRef>
          </c:val>
          <c:extLst>
            <c:ext xmlns:c16="http://schemas.microsoft.com/office/drawing/2014/chart" uri="{C3380CC4-5D6E-409C-BE32-E72D297353CC}">
              <c16:uniqueId val="{00000004-9D51-4D3E-8098-6C20E5451652}"/>
            </c:ext>
          </c:extLst>
        </c:ser>
        <c:ser>
          <c:idx val="5"/>
          <c:order val="5"/>
          <c:tx>
            <c:strRef>
              <c:f>Summary!$P$39</c:f>
              <c:strCache>
                <c:ptCount val="1"/>
                <c:pt idx="0">
                  <c:v>Vav 3 - Rávøruveiting og -flutningur</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Summary!$P$40:$P$42</c:f>
              <c:numCache>
                <c:formatCode>_(* #,##0_);_(* \(#,##0\);_(* "-"??_);_(@_)</c:formatCode>
                <c:ptCount val="3"/>
                <c:pt idx="2">
                  <c:v>0</c:v>
                </c:pt>
              </c:numCache>
            </c:numRef>
          </c:val>
          <c:extLst>
            <c:ext xmlns:c16="http://schemas.microsoft.com/office/drawing/2014/chart" uri="{C3380CC4-5D6E-409C-BE32-E72D297353CC}">
              <c16:uniqueId val="{00000005-9D51-4D3E-8098-6C20E5451652}"/>
            </c:ext>
          </c:extLst>
        </c:ser>
        <c:ser>
          <c:idx val="6"/>
          <c:order val="6"/>
          <c:tx>
            <c:strRef>
              <c:f>Summary!$Q$39</c:f>
              <c:strCache>
                <c:ptCount val="1"/>
                <c:pt idx="0">
                  <c:v>Vav 3 - Liðugvøruveiting og -flutningur</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Summary!$Q$40:$Q$42</c:f>
              <c:numCache>
                <c:formatCode>_(* #,##0_);_(* \(#,##0\);_(* "-"??_);_(@_)</c:formatCode>
                <c:ptCount val="3"/>
                <c:pt idx="2">
                  <c:v>0</c:v>
                </c:pt>
              </c:numCache>
            </c:numRef>
          </c:val>
          <c:extLst>
            <c:ext xmlns:c16="http://schemas.microsoft.com/office/drawing/2014/chart" uri="{C3380CC4-5D6E-409C-BE32-E72D297353CC}">
              <c16:uniqueId val="{00000006-9D51-4D3E-8098-6C20E5451652}"/>
            </c:ext>
          </c:extLst>
        </c:ser>
        <c:ser>
          <c:idx val="7"/>
          <c:order val="7"/>
          <c:tx>
            <c:strRef>
              <c:f>Summary!$R$39</c:f>
              <c:strCache>
                <c:ptCount val="1"/>
                <c:pt idx="0">
                  <c:v>Vav 3 - Arbeiðsferðing</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Summary!$R$40:$R$42</c:f>
              <c:numCache>
                <c:formatCode>_(* #,##0_);_(* \(#,##0\);_(* "-"??_);_(@_)</c:formatCode>
                <c:ptCount val="3"/>
                <c:pt idx="2">
                  <c:v>0</c:v>
                </c:pt>
              </c:numCache>
            </c:numRef>
          </c:val>
          <c:extLst>
            <c:ext xmlns:c16="http://schemas.microsoft.com/office/drawing/2014/chart" uri="{C3380CC4-5D6E-409C-BE32-E72D297353CC}">
              <c16:uniqueId val="{00000007-9D51-4D3E-8098-6C20E5451652}"/>
            </c:ext>
          </c:extLst>
        </c:ser>
        <c:ser>
          <c:idx val="8"/>
          <c:order val="8"/>
          <c:tx>
            <c:strRef>
              <c:f>Summary!$S$39</c:f>
              <c:strCache>
                <c:ptCount val="1"/>
                <c:pt idx="0">
                  <c:v>Vav 3 - Starvsfólkaferðing</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Summary!$S$40:$S$42</c:f>
              <c:numCache>
                <c:formatCode>_(* #,##0_);_(* \(#,##0\);_(* "-"??_);_(@_)</c:formatCode>
                <c:ptCount val="3"/>
                <c:pt idx="2">
                  <c:v>0</c:v>
                </c:pt>
              </c:numCache>
            </c:numRef>
          </c:val>
          <c:extLst>
            <c:ext xmlns:c16="http://schemas.microsoft.com/office/drawing/2014/chart" uri="{C3380CC4-5D6E-409C-BE32-E72D297353CC}">
              <c16:uniqueId val="{00000008-9D51-4D3E-8098-6C20E5451652}"/>
            </c:ext>
          </c:extLst>
        </c:ser>
        <c:ser>
          <c:idx val="9"/>
          <c:order val="9"/>
          <c:tx>
            <c:strRef>
              <c:f>Summary!$T$39</c:f>
              <c:strCache>
                <c:ptCount val="1"/>
                <c:pt idx="0">
                  <c:v>Vav 3 - Burturkast frá virksemi</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Summary!$T$40:$T$42</c:f>
              <c:numCache>
                <c:formatCode>_(* #,##0_);_(* \(#,##0\);_(* "-"??_);_(@_)</c:formatCode>
                <c:ptCount val="3"/>
                <c:pt idx="2">
                  <c:v>0</c:v>
                </c:pt>
              </c:numCache>
            </c:numRef>
          </c:val>
          <c:extLst>
            <c:ext xmlns:c16="http://schemas.microsoft.com/office/drawing/2014/chart" uri="{C3380CC4-5D6E-409C-BE32-E72D297353CC}">
              <c16:uniqueId val="{00000009-9D51-4D3E-8098-6C20E5451652}"/>
            </c:ext>
          </c:extLst>
        </c:ser>
        <c:dLbls>
          <c:dLblPos val="ctr"/>
          <c:showLegendKey val="0"/>
          <c:showVal val="1"/>
          <c:showCatName val="0"/>
          <c:showSerName val="0"/>
          <c:showPercent val="0"/>
          <c:showBubbleSize val="0"/>
        </c:dLbls>
        <c:gapWidth val="55"/>
        <c:overlap val="100"/>
        <c:axId val="680618911"/>
        <c:axId val="680615999"/>
      </c:barChart>
      <c:catAx>
        <c:axId val="680618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680615999"/>
        <c:crosses val="autoZero"/>
        <c:auto val="1"/>
        <c:lblAlgn val="ctr"/>
        <c:lblOffset val="100"/>
        <c:noMultiLvlLbl val="0"/>
      </c:catAx>
      <c:valAx>
        <c:axId val="6806159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6806189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pieChart>
        <c:varyColors val="1"/>
        <c:ser>
          <c:idx val="0"/>
          <c:order val="0"/>
          <c:tx>
            <c:strRef>
              <c:f>Summary!$H$14</c:f>
              <c:strCache>
                <c:ptCount val="1"/>
                <c:pt idx="0">
                  <c:v> tCO2e by Scope - 2023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D4-43B4-8FF4-7BA65A340C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D4-43B4-8FF4-7BA65A340C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D4-43B4-8FF4-7BA65A340CC3}"/>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Summary!$G$15:$G$17</c:f>
              <c:strCache>
                <c:ptCount val="3"/>
                <c:pt idx="0">
                  <c:v>Scope 1</c:v>
                </c:pt>
                <c:pt idx="1">
                  <c:v>Scope 2</c:v>
                </c:pt>
                <c:pt idx="2">
                  <c:v>Scope 3</c:v>
                </c:pt>
              </c:strCache>
            </c:strRef>
          </c:cat>
          <c:val>
            <c:numRef>
              <c:f>Summary!$H$15:$H$17</c:f>
              <c:numCache>
                <c:formatCode>0%</c:formatCode>
                <c:ptCount val="3"/>
                <c:pt idx="0">
                  <c:v>0</c:v>
                </c:pt>
                <c:pt idx="1">
                  <c:v>0</c:v>
                </c:pt>
                <c:pt idx="2">
                  <c:v>0</c:v>
                </c:pt>
              </c:numCache>
            </c:numRef>
          </c:val>
          <c:extLst>
            <c:ext xmlns:c16="http://schemas.microsoft.com/office/drawing/2014/chart" uri="{C3380CC4-5D6E-409C-BE32-E72D297353CC}">
              <c16:uniqueId val="{00000000-0050-4474-8835-ED435CAE7582}"/>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6990122659300908"/>
          <c:y val="0.45041629346636175"/>
          <c:w val="0.12936048522375337"/>
          <c:h val="0.1668106636320059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907676</xdr:colOff>
      <xdr:row>11</xdr:row>
      <xdr:rowOff>123265</xdr:rowOff>
    </xdr:from>
    <xdr:to>
      <xdr:col>12</xdr:col>
      <xdr:colOff>732868</xdr:colOff>
      <xdr:row>12</xdr:row>
      <xdr:rowOff>22411</xdr:rowOff>
    </xdr:to>
    <xdr:pic>
      <xdr:nvPicPr>
        <xdr:cNvPr id="14" name="Picture 13" descr="Logo, company name&#10;&#10;Description automatically generated">
          <a:extLst>
            <a:ext uri="{FF2B5EF4-FFF2-40B4-BE49-F238E27FC236}">
              <a16:creationId xmlns:a16="http://schemas.microsoft.com/office/drawing/2014/main" id="{9B57628F-475C-6340-94B4-F3CF0A624883}"/>
            </a:ext>
          </a:extLst>
        </xdr:cNvPr>
        <xdr:cNvPicPr>
          <a:picLocks noChangeAspect="1"/>
        </xdr:cNvPicPr>
      </xdr:nvPicPr>
      <xdr:blipFill>
        <a:blip xmlns:r="http://schemas.openxmlformats.org/officeDocument/2006/relationships" r:embed="rId1"/>
        <a:stretch>
          <a:fillRect/>
        </a:stretch>
      </xdr:blipFill>
      <xdr:spPr>
        <a:xfrm>
          <a:off x="13962529" y="885265"/>
          <a:ext cx="1293163" cy="1165411"/>
        </a:xfrm>
        <a:prstGeom prst="rect">
          <a:avLst/>
        </a:prstGeom>
      </xdr:spPr>
    </xdr:pic>
    <xdr:clientData/>
  </xdr:twoCellAnchor>
  <xdr:twoCellAnchor editAs="oneCell">
    <xdr:from>
      <xdr:col>12</xdr:col>
      <xdr:colOff>798069</xdr:colOff>
      <xdr:row>11</xdr:row>
      <xdr:rowOff>190500</xdr:rowOff>
    </xdr:from>
    <xdr:to>
      <xdr:col>13</xdr:col>
      <xdr:colOff>1374026</xdr:colOff>
      <xdr:row>11</xdr:row>
      <xdr:rowOff>1184843</xdr:rowOff>
    </xdr:to>
    <xdr:pic>
      <xdr:nvPicPr>
        <xdr:cNvPr id="16" name="Picture 15">
          <a:extLst>
            <a:ext uri="{FF2B5EF4-FFF2-40B4-BE49-F238E27FC236}">
              <a16:creationId xmlns:a16="http://schemas.microsoft.com/office/drawing/2014/main" id="{6FACBDC6-E918-F041-9E31-9BE43F8C3431}"/>
            </a:ext>
          </a:extLst>
        </xdr:cNvPr>
        <xdr:cNvPicPr>
          <a:picLocks noChangeAspect="1"/>
        </xdr:cNvPicPr>
      </xdr:nvPicPr>
      <xdr:blipFill>
        <a:blip xmlns:r="http://schemas.openxmlformats.org/officeDocument/2006/relationships" r:embed="rId2"/>
        <a:stretch>
          <a:fillRect/>
        </a:stretch>
      </xdr:blipFill>
      <xdr:spPr>
        <a:xfrm>
          <a:off x="15320893" y="952500"/>
          <a:ext cx="2043927" cy="994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6803058</xdr:colOff>
      <xdr:row>11</xdr:row>
      <xdr:rowOff>9676</xdr:rowOff>
    </xdr:from>
    <xdr:to>
      <xdr:col>4</xdr:col>
      <xdr:colOff>8114350</xdr:colOff>
      <xdr:row>11</xdr:row>
      <xdr:rowOff>1195057</xdr:rowOff>
    </xdr:to>
    <xdr:pic>
      <xdr:nvPicPr>
        <xdr:cNvPr id="6" name="Picture 5" descr="Logo, company name&#10;&#10;Description automatically generated">
          <a:extLst>
            <a:ext uri="{FF2B5EF4-FFF2-40B4-BE49-F238E27FC236}">
              <a16:creationId xmlns:a16="http://schemas.microsoft.com/office/drawing/2014/main" id="{E5E741F3-660B-F54F-8475-A4942730C063}"/>
            </a:ext>
          </a:extLst>
        </xdr:cNvPr>
        <xdr:cNvPicPr>
          <a:picLocks noChangeAspect="1"/>
        </xdr:cNvPicPr>
      </xdr:nvPicPr>
      <xdr:blipFill>
        <a:blip xmlns:r="http://schemas.openxmlformats.org/officeDocument/2006/relationships" r:embed="rId1"/>
        <a:stretch>
          <a:fillRect/>
        </a:stretch>
      </xdr:blipFill>
      <xdr:spPr>
        <a:xfrm>
          <a:off x="11451258" y="873276"/>
          <a:ext cx="1311292" cy="1185381"/>
        </a:xfrm>
        <a:prstGeom prst="rect">
          <a:avLst/>
        </a:prstGeom>
      </xdr:spPr>
    </xdr:pic>
    <xdr:clientData/>
  </xdr:twoCellAnchor>
  <xdr:twoCellAnchor editAs="oneCell">
    <xdr:from>
      <xdr:col>4</xdr:col>
      <xdr:colOff>8106834</xdr:colOff>
      <xdr:row>11</xdr:row>
      <xdr:rowOff>84668</xdr:rowOff>
    </xdr:from>
    <xdr:to>
      <xdr:col>5</xdr:col>
      <xdr:colOff>127000</xdr:colOff>
      <xdr:row>11</xdr:row>
      <xdr:rowOff>1126754</xdr:rowOff>
    </xdr:to>
    <xdr:pic>
      <xdr:nvPicPr>
        <xdr:cNvPr id="2" name="Picture 1">
          <a:extLst>
            <a:ext uri="{FF2B5EF4-FFF2-40B4-BE49-F238E27FC236}">
              <a16:creationId xmlns:a16="http://schemas.microsoft.com/office/drawing/2014/main" id="{5CC9E13C-602D-3B44-9286-FA84E176DF5D}"/>
            </a:ext>
          </a:extLst>
        </xdr:cNvPr>
        <xdr:cNvPicPr>
          <a:picLocks noChangeAspect="1"/>
        </xdr:cNvPicPr>
      </xdr:nvPicPr>
      <xdr:blipFill>
        <a:blip xmlns:r="http://schemas.openxmlformats.org/officeDocument/2006/relationships" r:embed="rId2"/>
        <a:stretch>
          <a:fillRect/>
        </a:stretch>
      </xdr:blipFill>
      <xdr:spPr>
        <a:xfrm>
          <a:off x="12755034" y="948268"/>
          <a:ext cx="2142066" cy="10420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66189</xdr:colOff>
      <xdr:row>43</xdr:row>
      <xdr:rowOff>136526</xdr:rowOff>
    </xdr:from>
    <xdr:to>
      <xdr:col>17</xdr:col>
      <xdr:colOff>683776</xdr:colOff>
      <xdr:row>69</xdr:row>
      <xdr:rowOff>77250</xdr:rowOff>
    </xdr:to>
    <xdr:graphicFrame macro="">
      <xdr:nvGraphicFramePr>
        <xdr:cNvPr id="3" name="Chart 2">
          <a:extLst>
            <a:ext uri="{FF2B5EF4-FFF2-40B4-BE49-F238E27FC236}">
              <a16:creationId xmlns:a16="http://schemas.microsoft.com/office/drawing/2014/main" id="{220E882C-95C5-D737-9BB8-32BAED3431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304800</xdr:colOff>
      <xdr:row>12</xdr:row>
      <xdr:rowOff>173498</xdr:rowOff>
    </xdr:from>
    <xdr:to>
      <xdr:col>21</xdr:col>
      <xdr:colOff>753612</xdr:colOff>
      <xdr:row>38</xdr:row>
      <xdr:rowOff>8451</xdr:rowOff>
    </xdr:to>
    <xdr:graphicFrame macro="">
      <xdr:nvGraphicFramePr>
        <xdr:cNvPr id="6" name="Chart 5">
          <a:extLst>
            <a:ext uri="{FF2B5EF4-FFF2-40B4-BE49-F238E27FC236}">
              <a16:creationId xmlns:a16="http://schemas.microsoft.com/office/drawing/2014/main" id="{D4367C07-5B99-44A6-B95C-FA651257A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21804</xdr:colOff>
      <xdr:row>43</xdr:row>
      <xdr:rowOff>85344</xdr:rowOff>
    </xdr:from>
    <xdr:to>
      <xdr:col>8</xdr:col>
      <xdr:colOff>1142987</xdr:colOff>
      <xdr:row>67</xdr:row>
      <xdr:rowOff>164995</xdr:rowOff>
    </xdr:to>
    <xdr:graphicFrame macro="">
      <xdr:nvGraphicFramePr>
        <xdr:cNvPr id="13" name="Chart 12">
          <a:extLst>
            <a:ext uri="{FF2B5EF4-FFF2-40B4-BE49-F238E27FC236}">
              <a16:creationId xmlns:a16="http://schemas.microsoft.com/office/drawing/2014/main" id="{A9BD764C-7D4B-2184-B8E0-6EA3EEBEDD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892658</xdr:colOff>
      <xdr:row>12</xdr:row>
      <xdr:rowOff>187516</xdr:rowOff>
    </xdr:from>
    <xdr:to>
      <xdr:col>13</xdr:col>
      <xdr:colOff>445856</xdr:colOff>
      <xdr:row>34</xdr:row>
      <xdr:rowOff>144124</xdr:rowOff>
    </xdr:to>
    <xdr:graphicFrame macro="">
      <xdr:nvGraphicFramePr>
        <xdr:cNvPr id="2" name="Chart 1">
          <a:extLst>
            <a:ext uri="{FF2B5EF4-FFF2-40B4-BE49-F238E27FC236}">
              <a16:creationId xmlns:a16="http://schemas.microsoft.com/office/drawing/2014/main" id="{6EE625DD-8DD8-F0DE-87F0-7364FED5A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hgprotocol.org/sites/default/files/standards/Scope3_Calculation_Guidance_0.pdf" TargetMode="External"/><Relationship Id="rId13" Type="http://schemas.openxmlformats.org/officeDocument/2006/relationships/hyperlink" Target="https://ghgprotocol.org/sites/default/files/standards/Scope3_Calculation_Guidance_0.pdf" TargetMode="External"/><Relationship Id="rId18" Type="http://schemas.openxmlformats.org/officeDocument/2006/relationships/hyperlink" Target="https://ghgprotocol.org/sites/default/files/standards/Scope3_Calculation_Guidance_0.pdf" TargetMode="External"/><Relationship Id="rId3" Type="http://schemas.openxmlformats.org/officeDocument/2006/relationships/hyperlink" Target="https://ghgprotocol.org/sites/default/files/standards/Scope%202%20Guidance_Final_Sept26.pdf" TargetMode="External"/><Relationship Id="rId21" Type="http://schemas.openxmlformats.org/officeDocument/2006/relationships/printerSettings" Target="../printerSettings/printerSettings1.bin"/><Relationship Id="rId7" Type="http://schemas.openxmlformats.org/officeDocument/2006/relationships/hyperlink" Target="https://ghgprotocol.org/sites/default/files/standards/Scope3_Calculation_Guidance_0.pdf" TargetMode="External"/><Relationship Id="rId12" Type="http://schemas.openxmlformats.org/officeDocument/2006/relationships/hyperlink" Target="https://ghgprotocol.org/sites/default/files/standards/Scope3_Calculation_Guidance_0.pdf" TargetMode="External"/><Relationship Id="rId17" Type="http://schemas.openxmlformats.org/officeDocument/2006/relationships/hyperlink" Target="https://ghgprotocol.org/sites/default/files/standards/Scope3_Calculation_Guidance_0.pdf" TargetMode="External"/><Relationship Id="rId2" Type="http://schemas.openxmlformats.org/officeDocument/2006/relationships/hyperlink" Target="https://ghgprotocol.org/sites/default/files/standards/Scope%202%20Guidance_Final_Sept26.pdf" TargetMode="External"/><Relationship Id="rId16" Type="http://schemas.openxmlformats.org/officeDocument/2006/relationships/hyperlink" Target="https://ghgprotocol.org/sites/default/files/standards/Scope3_Calculation_Guidance_0.pdf" TargetMode="External"/><Relationship Id="rId20" Type="http://schemas.openxmlformats.org/officeDocument/2006/relationships/hyperlink" Target="https://ghgprotocol.org/sites/default/files/standards/Scope3_Calculation_Guidance_0.pdf" TargetMode="External"/><Relationship Id="rId1" Type="http://schemas.openxmlformats.org/officeDocument/2006/relationships/hyperlink" Target="https://ghgprotocol.org/corporate-standard" TargetMode="External"/><Relationship Id="rId6" Type="http://schemas.openxmlformats.org/officeDocument/2006/relationships/hyperlink" Target="https://ghgprotocol.org/sites/default/files/standards/Scope3_Calculation_Guidance_0.pdf" TargetMode="External"/><Relationship Id="rId11" Type="http://schemas.openxmlformats.org/officeDocument/2006/relationships/hyperlink" Target="https://ghgprotocol.org/sites/default/files/standards/Scope3_Calculation_Guidance_0.pdf" TargetMode="External"/><Relationship Id="rId5" Type="http://schemas.openxmlformats.org/officeDocument/2006/relationships/hyperlink" Target="https://ghgprotocol.org/sites/default/files/standards/Scope3_Calculation_Guidance_0.pdf" TargetMode="External"/><Relationship Id="rId15" Type="http://schemas.openxmlformats.org/officeDocument/2006/relationships/hyperlink" Target="https://ghgprotocol.org/sites/default/files/standards/Scope3_Calculation_Guidance_0.pdf" TargetMode="External"/><Relationship Id="rId10" Type="http://schemas.openxmlformats.org/officeDocument/2006/relationships/hyperlink" Target="https://ghgprotocol.org/sites/default/files/standards/Scope%202%20Guidance_Final_Sept26.pdf" TargetMode="External"/><Relationship Id="rId19" Type="http://schemas.openxmlformats.org/officeDocument/2006/relationships/hyperlink" Target="https://ghgprotocol.org/sites/default/files/standards/Scope3_Calculation_Guidance_0.pdf" TargetMode="External"/><Relationship Id="rId4" Type="http://schemas.openxmlformats.org/officeDocument/2006/relationships/hyperlink" Target="https://ghgprotocol.org/sites/default/files/standards/Scope3_Calculation_Guidance_0.pdf" TargetMode="External"/><Relationship Id="rId9" Type="http://schemas.openxmlformats.org/officeDocument/2006/relationships/hyperlink" Target="https://ghgprotocol.org/sites/default/files/standards/Scope3_Calculation_Guidance_0.pdf" TargetMode="External"/><Relationship Id="rId14" Type="http://schemas.openxmlformats.org/officeDocument/2006/relationships/hyperlink" Target="https://ghgprotocol.org/sites/default/files/standards/Scope3_Calculation_Guidance_0.pdf"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6.bin"/><Relationship Id="rId1" Type="http://schemas.openxmlformats.org/officeDocument/2006/relationships/hyperlink" Target="https://envs.au.dk/fileadmin/envs/Emission_inventories/Emission_factors/Emf_internet_energy_GHG.htm" TargetMode="External"/><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B924-9F8E-4809-9EE7-36662AFE2E65}">
  <sheetPr codeName="Sheet1">
    <tabColor theme="2"/>
  </sheetPr>
  <dimension ref="A1:Z70"/>
  <sheetViews>
    <sheetView showGridLines="0" showRowColHeaders="0" topLeftCell="B2" zoomScale="75" zoomScaleNormal="75" workbookViewId="0">
      <selection activeCell="Q17" sqref="Q17"/>
    </sheetView>
  </sheetViews>
  <sheetFormatPr defaultColWidth="0" defaultRowHeight="14.25" zeroHeight="1"/>
  <cols>
    <col min="1" max="1" width="14.42578125" style="71" hidden="1" customWidth="1"/>
    <col min="2" max="2" width="3.7109375" style="71" customWidth="1"/>
    <col min="3" max="3" width="4.7109375" style="71" customWidth="1"/>
    <col min="4" max="4" width="19.7109375" style="71" customWidth="1"/>
    <col min="5" max="5" width="43.140625" style="71" customWidth="1"/>
    <col min="6" max="10" width="19.7109375" style="71" customWidth="1"/>
    <col min="11" max="11" width="26.140625" style="71" customWidth="1"/>
    <col min="12" max="14" width="22" style="71" customWidth="1"/>
    <col min="15" max="26" width="14" style="71" customWidth="1"/>
    <col min="27" max="16384" width="14" style="71" hidden="1"/>
  </cols>
  <sheetData>
    <row r="1" spans="1:26" hidden="1">
      <c r="D1" s="166"/>
      <c r="E1" s="166"/>
      <c r="F1" s="166"/>
      <c r="G1" s="166"/>
      <c r="H1" s="166"/>
      <c r="I1" s="166"/>
      <c r="J1" s="166"/>
      <c r="K1" s="166"/>
      <c r="L1" s="166"/>
      <c r="M1" s="166"/>
      <c r="N1" s="166"/>
      <c r="O1" s="166"/>
      <c r="P1" s="166"/>
      <c r="Q1" s="166"/>
      <c r="R1" s="166"/>
      <c r="S1" s="166"/>
      <c r="T1" s="166"/>
      <c r="U1" s="166"/>
      <c r="V1" s="166"/>
      <c r="W1" s="166"/>
      <c r="X1" s="166"/>
      <c r="Y1" s="166"/>
      <c r="Z1" s="166"/>
    </row>
    <row r="2" spans="1:26" ht="13.5" customHeight="1">
      <c r="A2" s="168" t="s">
        <v>0</v>
      </c>
      <c r="B2" s="167"/>
      <c r="C2" s="166"/>
      <c r="D2" s="166"/>
      <c r="E2" s="166"/>
      <c r="F2" s="166"/>
      <c r="G2" s="166"/>
      <c r="H2" s="166"/>
      <c r="I2" s="166"/>
      <c r="J2" s="166"/>
      <c r="K2" s="166"/>
      <c r="L2" s="166"/>
      <c r="M2" s="166"/>
      <c r="N2" s="166"/>
      <c r="O2" s="166"/>
      <c r="P2" s="166"/>
      <c r="Q2" s="166"/>
      <c r="R2" s="166"/>
      <c r="S2" s="166"/>
      <c r="T2" s="166"/>
      <c r="U2" s="166"/>
      <c r="V2" s="166"/>
      <c r="W2" s="166"/>
      <c r="X2" s="166"/>
      <c r="Y2" s="166"/>
      <c r="Z2" s="166"/>
    </row>
    <row r="3" spans="1:26" ht="11.85" customHeight="1">
      <c r="A3" s="71" t="s">
        <v>1</v>
      </c>
      <c r="B3" s="166"/>
      <c r="C3" s="169"/>
      <c r="D3" s="170"/>
      <c r="E3" s="170"/>
      <c r="F3" s="170"/>
      <c r="G3" s="170"/>
      <c r="H3" s="170"/>
      <c r="I3" s="170"/>
      <c r="J3" s="170"/>
      <c r="K3" s="170"/>
      <c r="L3" s="170"/>
      <c r="M3" s="170"/>
      <c r="N3" s="170"/>
      <c r="O3" s="170"/>
      <c r="P3" s="170"/>
      <c r="Q3" s="170"/>
      <c r="R3" s="170"/>
      <c r="S3" s="170"/>
      <c r="T3" s="170"/>
      <c r="U3" s="170"/>
      <c r="V3" s="170"/>
      <c r="W3" s="170"/>
      <c r="X3" s="170"/>
      <c r="Y3" s="170"/>
      <c r="Z3" s="170"/>
    </row>
    <row r="4" spans="1:26" ht="5.0999999999999996" customHeight="1">
      <c r="A4" s="168" t="s">
        <v>2</v>
      </c>
      <c r="B4" s="172"/>
      <c r="C4" s="173"/>
      <c r="D4" s="418" t="str">
        <f>IF($E$14="English",_xlfn.XLOOKUP($A$2,Descriptions!$A:$A,Descriptions!$B:$B),_xlfn.XLOOKUP($A$2,Descriptions!$A:$A,Descriptions!$C:$C))</f>
        <v>Føroyskur CO2-roknari. Ár: 2023</v>
      </c>
      <c r="E4" s="418"/>
      <c r="F4" s="418"/>
      <c r="G4" s="418"/>
      <c r="H4" s="418"/>
      <c r="I4" s="418"/>
      <c r="J4" s="418"/>
      <c r="K4" s="418"/>
      <c r="L4" s="418"/>
      <c r="M4" s="418"/>
      <c r="N4" s="418"/>
      <c r="O4" s="418"/>
      <c r="P4" s="418"/>
      <c r="Q4" s="418"/>
      <c r="R4" s="67"/>
      <c r="S4" s="67"/>
      <c r="T4" s="67"/>
      <c r="U4" s="67"/>
      <c r="V4" s="67"/>
      <c r="W4" s="67"/>
      <c r="X4" s="67"/>
      <c r="Y4" s="67"/>
      <c r="Z4" s="67"/>
    </row>
    <row r="5" spans="1:26" ht="5.0999999999999996" customHeight="1">
      <c r="A5" s="71" t="s">
        <v>3</v>
      </c>
      <c r="B5" s="166"/>
      <c r="C5" s="173"/>
      <c r="D5" s="418"/>
      <c r="E5" s="418"/>
      <c r="F5" s="418"/>
      <c r="G5" s="418"/>
      <c r="H5" s="418"/>
      <c r="I5" s="418"/>
      <c r="J5" s="418"/>
      <c r="K5" s="418"/>
      <c r="L5" s="418"/>
      <c r="M5" s="418"/>
      <c r="N5" s="418"/>
      <c r="O5" s="418"/>
      <c r="P5" s="418"/>
      <c r="Q5" s="418"/>
      <c r="R5" s="67"/>
      <c r="S5" s="67"/>
      <c r="T5" s="67"/>
      <c r="U5" s="67"/>
      <c r="V5" s="67"/>
      <c r="W5" s="67"/>
      <c r="X5" s="67"/>
      <c r="Y5" s="67"/>
      <c r="Z5" s="67"/>
    </row>
    <row r="6" spans="1:26" ht="5.0999999999999996" customHeight="1">
      <c r="A6" s="168" t="s">
        <v>4</v>
      </c>
      <c r="B6" s="166"/>
      <c r="C6" s="173"/>
      <c r="D6" s="418"/>
      <c r="E6" s="418"/>
      <c r="F6" s="418"/>
      <c r="G6" s="418"/>
      <c r="H6" s="418"/>
      <c r="I6" s="418"/>
      <c r="J6" s="418"/>
      <c r="K6" s="418"/>
      <c r="L6" s="418"/>
      <c r="M6" s="418"/>
      <c r="N6" s="418"/>
      <c r="O6" s="418"/>
      <c r="P6" s="418"/>
      <c r="Q6" s="418"/>
      <c r="R6" s="67"/>
      <c r="S6" s="67"/>
      <c r="T6" s="67"/>
      <c r="U6" s="67"/>
      <c r="V6" s="67"/>
      <c r="W6" s="67"/>
      <c r="X6" s="67"/>
      <c r="Y6" s="67"/>
      <c r="Z6" s="67"/>
    </row>
    <row r="7" spans="1:26" ht="5.0999999999999996" customHeight="1">
      <c r="A7" s="71" t="s">
        <v>5</v>
      </c>
      <c r="B7" s="166"/>
      <c r="C7" s="173"/>
      <c r="D7" s="418"/>
      <c r="E7" s="418"/>
      <c r="F7" s="418"/>
      <c r="G7" s="418"/>
      <c r="H7" s="418"/>
      <c r="I7" s="418"/>
      <c r="J7" s="418"/>
      <c r="K7" s="418"/>
      <c r="L7" s="418"/>
      <c r="M7" s="418"/>
      <c r="N7" s="418"/>
      <c r="O7" s="418"/>
      <c r="P7" s="418"/>
      <c r="Q7" s="418"/>
      <c r="R7" s="67"/>
      <c r="S7" s="67"/>
      <c r="T7" s="67"/>
      <c r="U7" s="67"/>
      <c r="V7" s="67"/>
      <c r="W7" s="67"/>
      <c r="X7" s="67"/>
      <c r="Y7" s="67"/>
      <c r="Z7" s="67"/>
    </row>
    <row r="8" spans="1:26" ht="5.0999999999999996" customHeight="1">
      <c r="A8" s="71" t="s">
        <v>6</v>
      </c>
      <c r="B8" s="166"/>
      <c r="C8" s="173"/>
      <c r="D8" s="418"/>
      <c r="E8" s="418"/>
      <c r="F8" s="418"/>
      <c r="G8" s="418"/>
      <c r="H8" s="418"/>
      <c r="I8" s="418"/>
      <c r="J8" s="418"/>
      <c r="K8" s="418"/>
      <c r="L8" s="418"/>
      <c r="M8" s="418"/>
      <c r="N8" s="418"/>
      <c r="O8" s="418"/>
      <c r="P8" s="418"/>
      <c r="Q8" s="418"/>
      <c r="R8" s="67"/>
      <c r="S8" s="67"/>
      <c r="T8" s="67"/>
      <c r="U8" s="67"/>
      <c r="V8" s="67"/>
      <c r="W8" s="67"/>
      <c r="X8" s="67"/>
      <c r="Y8" s="67"/>
      <c r="Z8" s="67"/>
    </row>
    <row r="9" spans="1:26" ht="5.0999999999999996" customHeight="1">
      <c r="A9" s="71" t="s">
        <v>7</v>
      </c>
      <c r="B9" s="166"/>
      <c r="C9" s="173"/>
      <c r="D9" s="418"/>
      <c r="E9" s="418"/>
      <c r="F9" s="418"/>
      <c r="G9" s="418"/>
      <c r="H9" s="418"/>
      <c r="I9" s="418"/>
      <c r="J9" s="418"/>
      <c r="K9" s="418"/>
      <c r="L9" s="418"/>
      <c r="M9" s="418"/>
      <c r="N9" s="418"/>
      <c r="O9" s="418"/>
      <c r="P9" s="418"/>
      <c r="Q9" s="418"/>
      <c r="R9" s="67"/>
      <c r="S9" s="67"/>
      <c r="T9" s="67"/>
      <c r="U9" s="67"/>
      <c r="V9" s="67"/>
      <c r="W9" s="67"/>
      <c r="X9" s="67"/>
      <c r="Y9" s="67"/>
      <c r="Z9" s="67"/>
    </row>
    <row r="10" spans="1:26" ht="5.0999999999999996" customHeight="1">
      <c r="B10" s="166"/>
      <c r="C10" s="173"/>
      <c r="D10" s="418"/>
      <c r="E10" s="418"/>
      <c r="F10" s="418"/>
      <c r="G10" s="418"/>
      <c r="H10" s="418"/>
      <c r="I10" s="418"/>
      <c r="J10" s="418"/>
      <c r="K10" s="418"/>
      <c r="L10" s="418"/>
      <c r="M10" s="418"/>
      <c r="N10" s="418"/>
      <c r="O10" s="418"/>
      <c r="P10" s="418"/>
      <c r="Q10" s="418"/>
      <c r="R10" s="67"/>
      <c r="S10" s="67"/>
      <c r="T10" s="67"/>
      <c r="U10" s="67"/>
      <c r="V10" s="67"/>
      <c r="W10" s="67"/>
      <c r="X10" s="67"/>
      <c r="Y10" s="67"/>
      <c r="Z10" s="67"/>
    </row>
    <row r="11" spans="1:26" ht="5.0999999999999996" customHeight="1">
      <c r="A11" s="71" t="s">
        <v>8</v>
      </c>
      <c r="B11" s="166"/>
      <c r="C11" s="173"/>
      <c r="D11" s="418"/>
      <c r="E11" s="418"/>
      <c r="F11" s="418"/>
      <c r="G11" s="418"/>
      <c r="H11" s="418"/>
      <c r="I11" s="418"/>
      <c r="J11" s="418"/>
      <c r="K11" s="418"/>
      <c r="L11" s="418"/>
      <c r="M11" s="418"/>
      <c r="N11" s="418"/>
      <c r="O11" s="418"/>
      <c r="P11" s="418"/>
      <c r="Q11" s="418"/>
      <c r="R11" s="67"/>
      <c r="S11" s="67"/>
      <c r="T11" s="67"/>
      <c r="U11" s="67"/>
      <c r="V11" s="67"/>
      <c r="W11" s="67"/>
      <c r="X11" s="67"/>
      <c r="Y11" s="67"/>
      <c r="Z11" s="67"/>
    </row>
    <row r="12" spans="1:26" ht="99.95" customHeight="1">
      <c r="A12" s="71" t="s">
        <v>9</v>
      </c>
      <c r="B12" s="166"/>
      <c r="C12" s="173"/>
      <c r="D12" s="419" t="str">
        <f>IF($E$14="English",_xlfn.XLOOKUP($A$3,Descriptions!$A:$A,Descriptions!$B:$B),_xlfn.XLOOKUP($A$3,Descriptions!$A:$A,Descriptions!$C:$C))</f>
        <v>Inngangur</v>
      </c>
      <c r="E12" s="419"/>
      <c r="F12" s="419"/>
      <c r="G12" s="419"/>
      <c r="H12" s="419"/>
      <c r="I12" s="419"/>
      <c r="J12" s="419"/>
      <c r="K12" s="419"/>
      <c r="L12" s="419"/>
      <c r="M12" s="419"/>
      <c r="N12" s="419"/>
      <c r="O12" s="419"/>
      <c r="P12" s="419"/>
      <c r="Q12" s="419"/>
      <c r="R12" s="67"/>
      <c r="S12" s="67"/>
      <c r="T12" s="67"/>
      <c r="U12" s="67"/>
      <c r="V12" s="67"/>
      <c r="W12" s="67"/>
      <c r="X12" s="67"/>
      <c r="Y12" s="67"/>
      <c r="Z12" s="67"/>
    </row>
    <row r="13" spans="1:26" ht="16.350000000000001" customHeight="1">
      <c r="A13" s="71" t="s">
        <v>10</v>
      </c>
      <c r="B13" s="166"/>
      <c r="C13" s="173"/>
      <c r="D13" s="67"/>
      <c r="E13" s="67"/>
      <c r="F13" s="67"/>
      <c r="G13" s="67"/>
      <c r="H13" s="67"/>
      <c r="I13" s="67"/>
      <c r="J13" s="67"/>
      <c r="K13" s="67"/>
      <c r="L13" s="67"/>
      <c r="M13" s="67"/>
      <c r="N13" s="67"/>
      <c r="O13" s="67"/>
      <c r="P13" s="67"/>
      <c r="Q13" s="67"/>
      <c r="R13" s="67"/>
      <c r="S13" s="67"/>
      <c r="T13" s="67"/>
      <c r="U13" s="67"/>
      <c r="V13" s="67"/>
      <c r="W13" s="67"/>
      <c r="X13" s="67"/>
      <c r="Y13" s="67"/>
      <c r="Z13" s="67"/>
    </row>
    <row r="14" spans="1:26" ht="16.350000000000001" customHeight="1">
      <c r="A14" s="71" t="s">
        <v>11</v>
      </c>
      <c r="B14" s="166"/>
      <c r="C14" s="173"/>
      <c r="D14" s="344" t="str">
        <f>IF(E14="English",_xlfn.XLOOKUP(A4,Descriptions!$A:$A,Descriptions!$B:$B),_xlfn.XLOOKUP(Introduction!A4,Descriptions!$A:$A,Descriptions!$C:$C))</f>
        <v>Mál</v>
      </c>
      <c r="E14" s="315" t="s">
        <v>767</v>
      </c>
      <c r="F14" s="67"/>
      <c r="G14" s="67"/>
      <c r="H14" s="67"/>
      <c r="I14" s="67"/>
      <c r="J14" s="67"/>
      <c r="K14" s="67"/>
      <c r="L14" s="67"/>
      <c r="M14" s="67"/>
      <c r="N14" s="67"/>
      <c r="O14" s="67"/>
      <c r="P14" s="67"/>
      <c r="Q14" s="67"/>
      <c r="R14" s="67"/>
      <c r="S14" s="67"/>
      <c r="T14" s="67"/>
      <c r="U14" s="67"/>
      <c r="V14" s="67"/>
      <c r="W14" s="67"/>
      <c r="X14" s="67"/>
      <c r="Y14" s="67"/>
      <c r="Z14" s="67"/>
    </row>
    <row r="15" spans="1:26" ht="16.350000000000001" customHeight="1">
      <c r="A15" s="71" t="s">
        <v>13</v>
      </c>
      <c r="B15" s="172"/>
      <c r="C15" s="173"/>
      <c r="D15" s="344" t="str">
        <f>IF($E$14="English",_xlfn.XLOOKUP(A5,Descriptions!$A:$A,Descriptions!$B:$B),_xlfn.XLOOKUP(Introduction!A5,Descriptions!$A:$A,Descriptions!$C:$C))</f>
        <v>Útgáva</v>
      </c>
      <c r="E15" s="316" t="str">
        <f>IF($E$14="English",_xlfn.XLOOKUP(A51,Descriptions!$A:$A,Descriptions!$B:$B),_xlfn.XLOOKUP(Introduction!A51,Descriptions!$A:$A,Descriptions!$C:$C))</f>
        <v>Útgáva 2023-1</v>
      </c>
      <c r="F15" s="68" t="str">
        <f>IF($E$14="English",_xlfn.XLOOKUP(A64,Descriptions!$A:$A,Descriptions!$B:$B),_xlfn.XLOOKUP(Introduction!A64,Descriptions!$A:$A,Descriptions!$C:$C))</f>
        <v>Hetta rokniamboðið skal nýtast við fyrivarni og undir egnari ábyrgd. Vinaliga boða Umhvørvisstovuni frá, um tú hevur uppskot til ábøtur.</v>
      </c>
      <c r="G15" s="69"/>
      <c r="H15" s="69"/>
      <c r="I15" s="69"/>
      <c r="J15" s="69"/>
      <c r="K15" s="70"/>
      <c r="M15" s="67"/>
      <c r="N15" s="67"/>
      <c r="O15" s="67"/>
      <c r="P15" s="67"/>
      <c r="Q15" s="67"/>
      <c r="R15" s="67"/>
      <c r="S15" s="67"/>
      <c r="T15" s="67"/>
      <c r="U15" s="67"/>
      <c r="V15" s="67"/>
      <c r="W15" s="67"/>
      <c r="X15" s="67"/>
      <c r="Y15" s="67"/>
      <c r="Z15" s="67"/>
    </row>
    <row r="16" spans="1:26" ht="17.850000000000001" customHeight="1">
      <c r="A16" s="71" t="s">
        <v>14</v>
      </c>
      <c r="B16" s="172"/>
      <c r="C16" s="173"/>
      <c r="D16" s="67"/>
      <c r="E16" s="67"/>
      <c r="F16" s="67"/>
      <c r="G16" s="67"/>
      <c r="H16" s="67"/>
      <c r="I16" s="67"/>
      <c r="J16" s="67"/>
      <c r="K16" s="67"/>
      <c r="L16" s="67"/>
      <c r="M16" s="67"/>
      <c r="N16" s="67"/>
      <c r="O16" s="67"/>
      <c r="P16" s="67"/>
      <c r="Q16" s="67"/>
      <c r="R16" s="67"/>
      <c r="S16" s="67"/>
      <c r="T16" s="67"/>
      <c r="U16" s="67"/>
      <c r="V16" s="67"/>
      <c r="W16" s="67"/>
      <c r="X16" s="67"/>
      <c r="Y16" s="67"/>
      <c r="Z16" s="67"/>
    </row>
    <row r="17" spans="1:26" ht="30" customHeight="1">
      <c r="A17" s="71" t="s">
        <v>15</v>
      </c>
      <c r="B17" s="172"/>
      <c r="C17" s="173"/>
      <c r="D17" s="427" t="str">
        <f>$D$4</f>
        <v>Føroyskur CO2-roknari. Ár: 2023</v>
      </c>
      <c r="E17" s="427"/>
      <c r="F17" s="427"/>
      <c r="G17" s="427"/>
      <c r="H17" s="427"/>
      <c r="I17" s="427"/>
      <c r="J17" s="427"/>
      <c r="K17" s="427"/>
      <c r="L17" s="427"/>
      <c r="M17" s="427"/>
      <c r="N17" s="427"/>
      <c r="O17" s="67"/>
      <c r="P17" s="67"/>
      <c r="Q17" s="67"/>
      <c r="R17" s="67"/>
      <c r="S17" s="67"/>
      <c r="T17" s="67"/>
      <c r="U17" s="67"/>
      <c r="V17" s="67"/>
      <c r="W17" s="67"/>
      <c r="X17" s="67"/>
      <c r="Y17" s="67"/>
      <c r="Z17" s="67"/>
    </row>
    <row r="18" spans="1:26" ht="30" customHeight="1">
      <c r="A18" s="71" t="s">
        <v>16</v>
      </c>
      <c r="B18" s="172"/>
      <c r="C18" s="173"/>
      <c r="D18" s="431" t="str">
        <f>IF($E$14="English",_xlfn.XLOOKUP(A6,Descriptions!$A:$A,Descriptions!$B:$B),_xlfn.XLOOKUP(Introduction!A6,Descriptions!$A:$A,Descriptions!$C:$C))</f>
        <v>Væntað verður, at fyritøkur fráboða Vav 1, 2 og 3 útlát árliga og at uppgerðin fylgir altjóða standardinum 'GHG Protocol Corporate Standard'. Sí leinkini undir 'Viðkomandi vegleiðingar" fyri at fáa fleiri upplýsingar um 'GHG Protocol Corporate Standard'.
CO2-roknarin er fingin til vega av Umhvørvisstovuni fyri at hjálpa føroyskum fyritøkum at fráboða útlát av vakstrarhúsgassi frá Vav 1, 2 og 3.
• Vav 1 er útlát frá keldum, ið fyritøka tín eigur ella hevur ræði á.
• Vav 2 er útlát, ið fyritøka tín óbeinleiðis elvir til, tá ið orkan, ið fyritøkan keypir og nýtir, verður framleidd.
• Vav 3 er útlát, ið ikki verður framleitt av fyritøku tíni, men av fyritøkum í virðisketu tykkara.
CO2-roknarin er rokniamboð at rokna útlát frá Vav 1 og 2 og ávísum útlátsbólkum fra Vav 3. Útlátsbólkarnir eru lýstir í  'GHG Protocol-Vav í CO2-roknara' niðanfyri.
CO2-roknarin hevur eitt skiljiark fyri hvønn útlátsbólk, sum skal brúkast til at rokna útlátið. Fyri hvørt skiljiark, skal ein brúkari hjá fyritøkuni leggja dátur inn um virksemið hjá fyritøkuni. Vegleiðing til roknaran er í teiginum 'Nýtsluvegleiðing' niðanfyri.
Byrjað verður við skiljiarkinum vinstrumegin við 'Vav 1 - Brennievni (á ávísum stað)' og hildið verður fram til og við 'Vav 3 - Burturkast frá virkseminum'. Fyri at sleppa undan villum, eigur roknitalvan á hvørjum arki at verða fylt út úr vinstru yvir í høgru.
Samandráttur av útláti hjá fyritøkuni, býtt á vav og útlátsbólk, sæst í teiginum 'Samandráttur'.</v>
      </c>
      <c r="E18" s="431"/>
      <c r="F18" s="431"/>
      <c r="G18" s="431"/>
      <c r="H18" s="431"/>
      <c r="I18" s="431"/>
      <c r="J18" s="431"/>
      <c r="K18" s="431"/>
      <c r="L18" s="430" t="str">
        <f>IF($E$14="English",_xlfn.XLOOKUP(A49,Descriptions!$A:$A,Descriptions!$B:$B),_xlfn.XLOOKUP(Introduction!A49,Descriptions!$A:$A,Descriptions!$C:$C))</f>
        <v>Viðkomandi vegleiðingar</v>
      </c>
      <c r="M18" s="430"/>
      <c r="N18" s="430"/>
      <c r="O18" s="67"/>
      <c r="P18" s="67"/>
      <c r="Q18" s="67"/>
      <c r="R18" s="67"/>
      <c r="S18" s="67"/>
      <c r="T18" s="67"/>
      <c r="U18" s="67"/>
      <c r="V18" s="67"/>
      <c r="W18" s="67"/>
      <c r="X18" s="67"/>
      <c r="Y18" s="67"/>
      <c r="Z18" s="67"/>
    </row>
    <row r="19" spans="1:26" ht="90" customHeight="1">
      <c r="A19" s="71" t="s">
        <v>17</v>
      </c>
      <c r="B19" s="172"/>
      <c r="C19" s="173"/>
      <c r="D19" s="431"/>
      <c r="E19" s="431"/>
      <c r="F19" s="431"/>
      <c r="G19" s="431"/>
      <c r="H19" s="431"/>
      <c r="I19" s="431"/>
      <c r="J19" s="431"/>
      <c r="K19" s="431"/>
      <c r="L19" s="426" t="s">
        <v>18</v>
      </c>
      <c r="M19" s="426"/>
      <c r="N19" s="426"/>
      <c r="O19" s="67"/>
      <c r="P19" s="67"/>
      <c r="Q19" s="67"/>
      <c r="R19" s="67"/>
      <c r="S19" s="67"/>
      <c r="T19" s="67"/>
      <c r="U19" s="67"/>
      <c r="V19" s="67"/>
      <c r="W19" s="67"/>
      <c r="X19" s="67"/>
      <c r="Y19" s="67"/>
      <c r="Z19" s="67"/>
    </row>
    <row r="20" spans="1:26" ht="90" customHeight="1">
      <c r="A20" s="71" t="s">
        <v>19</v>
      </c>
      <c r="B20" s="172"/>
      <c r="C20" s="173"/>
      <c r="D20" s="431"/>
      <c r="E20" s="431"/>
      <c r="F20" s="431"/>
      <c r="G20" s="431"/>
      <c r="H20" s="431"/>
      <c r="I20" s="431"/>
      <c r="J20" s="431"/>
      <c r="K20" s="431"/>
      <c r="L20" s="426" t="s">
        <v>20</v>
      </c>
      <c r="M20" s="426"/>
      <c r="N20" s="426"/>
      <c r="O20" s="67"/>
      <c r="P20" s="67"/>
      <c r="Q20" s="67"/>
      <c r="R20" s="67"/>
      <c r="S20" s="67"/>
      <c r="T20" s="67"/>
      <c r="U20" s="67"/>
      <c r="V20" s="67"/>
      <c r="W20" s="67"/>
      <c r="X20" s="67"/>
      <c r="Y20" s="67"/>
      <c r="Z20" s="67"/>
    </row>
    <row r="21" spans="1:26" ht="90" customHeight="1">
      <c r="A21" s="71" t="s">
        <v>21</v>
      </c>
      <c r="B21" s="172"/>
      <c r="C21" s="173"/>
      <c r="D21" s="431"/>
      <c r="E21" s="431"/>
      <c r="F21" s="431"/>
      <c r="G21" s="431"/>
      <c r="H21" s="431"/>
      <c r="I21" s="431"/>
      <c r="J21" s="431"/>
      <c r="K21" s="431"/>
      <c r="L21" s="425" t="s">
        <v>22</v>
      </c>
      <c r="M21" s="425"/>
      <c r="N21" s="425"/>
      <c r="O21" s="67"/>
      <c r="P21" s="67"/>
      <c r="Q21" s="67"/>
      <c r="R21" s="67"/>
      <c r="S21" s="67"/>
      <c r="T21" s="67"/>
      <c r="U21" s="67"/>
      <c r="V21" s="67"/>
      <c r="W21" s="67"/>
      <c r="X21" s="67"/>
      <c r="Y21" s="67"/>
      <c r="Z21" s="67"/>
    </row>
    <row r="22" spans="1:26" ht="12" customHeight="1">
      <c r="A22" s="71" t="s">
        <v>23</v>
      </c>
      <c r="B22" s="172"/>
      <c r="C22" s="173"/>
      <c r="E22" s="67"/>
      <c r="F22" s="67"/>
      <c r="G22" s="67"/>
      <c r="H22" s="67"/>
      <c r="I22" s="67"/>
      <c r="J22" s="67"/>
      <c r="K22" s="67"/>
      <c r="L22" s="67"/>
      <c r="M22" s="67"/>
      <c r="N22" s="67"/>
      <c r="O22" s="67"/>
      <c r="P22" s="67"/>
      <c r="Q22" s="67"/>
      <c r="R22" s="67"/>
      <c r="S22" s="67"/>
      <c r="T22" s="67"/>
      <c r="U22" s="67"/>
      <c r="V22" s="67"/>
      <c r="W22" s="67"/>
      <c r="X22" s="67"/>
      <c r="Y22" s="67"/>
      <c r="Z22" s="67"/>
    </row>
    <row r="23" spans="1:26" ht="15" hidden="1" customHeight="1">
      <c r="A23" s="71" t="s">
        <v>24</v>
      </c>
      <c r="B23" s="166"/>
      <c r="C23" s="173"/>
      <c r="O23" s="67"/>
      <c r="P23" s="67"/>
      <c r="Q23" s="67"/>
      <c r="R23" s="67"/>
      <c r="S23" s="67"/>
      <c r="T23" s="67"/>
      <c r="U23" s="67"/>
      <c r="V23" s="67"/>
      <c r="W23" s="67"/>
      <c r="X23" s="67"/>
      <c r="Y23" s="67"/>
      <c r="Z23" s="67"/>
    </row>
    <row r="24" spans="1:26" ht="15" hidden="1" customHeight="1">
      <c r="A24" s="71" t="s">
        <v>25</v>
      </c>
      <c r="B24" s="166"/>
      <c r="C24" s="173"/>
      <c r="D24" s="67"/>
      <c r="E24" s="67"/>
      <c r="F24" s="67"/>
      <c r="G24" s="67"/>
      <c r="H24" s="67"/>
      <c r="I24" s="67"/>
      <c r="J24" s="67"/>
      <c r="K24" s="67"/>
      <c r="L24" s="67"/>
      <c r="M24" s="67"/>
      <c r="N24" s="67"/>
      <c r="O24" s="67"/>
      <c r="P24" s="67"/>
      <c r="Q24" s="67"/>
      <c r="R24" s="67"/>
      <c r="S24" s="67"/>
      <c r="T24" s="67"/>
      <c r="U24" s="67"/>
      <c r="V24" s="67"/>
      <c r="W24" s="67"/>
      <c r="X24" s="67"/>
      <c r="Y24" s="67"/>
      <c r="Z24" s="67"/>
    </row>
    <row r="25" spans="1:26" ht="15" hidden="1" customHeight="1">
      <c r="A25" s="168" t="s">
        <v>26</v>
      </c>
      <c r="B25" s="166"/>
      <c r="C25" s="173"/>
      <c r="D25" s="429"/>
      <c r="E25" s="429"/>
      <c r="F25" s="429"/>
      <c r="G25" s="429"/>
      <c r="H25" s="429"/>
      <c r="I25" s="429"/>
      <c r="J25" s="429"/>
      <c r="K25" s="429"/>
      <c r="L25" s="429"/>
      <c r="M25" s="429"/>
      <c r="N25" s="429"/>
      <c r="O25" s="67"/>
      <c r="P25" s="67"/>
      <c r="Q25" s="67"/>
      <c r="R25" s="67"/>
      <c r="S25" s="67"/>
      <c r="T25" s="67"/>
      <c r="U25" s="67"/>
      <c r="V25" s="67"/>
      <c r="W25" s="67"/>
      <c r="X25" s="67"/>
      <c r="Y25" s="67"/>
      <c r="Z25" s="67"/>
    </row>
    <row r="26" spans="1:26" ht="13.35" hidden="1" customHeight="1">
      <c r="A26" s="168" t="s">
        <v>27</v>
      </c>
      <c r="B26" s="166"/>
      <c r="C26" s="173"/>
      <c r="O26" s="67"/>
      <c r="P26" s="67"/>
      <c r="Q26" s="67"/>
      <c r="R26" s="67"/>
      <c r="S26" s="67"/>
      <c r="T26" s="67"/>
      <c r="U26" s="67"/>
      <c r="V26" s="67"/>
      <c r="W26" s="67"/>
      <c r="X26" s="67"/>
      <c r="Y26" s="67"/>
      <c r="Z26" s="67"/>
    </row>
    <row r="27" spans="1:26" ht="43.5" hidden="1" customHeight="1">
      <c r="A27" s="168" t="s">
        <v>28</v>
      </c>
      <c r="B27" s="166"/>
      <c r="C27" s="173"/>
      <c r="D27" s="72"/>
      <c r="O27" s="67"/>
      <c r="P27" s="67"/>
      <c r="Q27" s="67"/>
      <c r="R27" s="67"/>
      <c r="S27" s="67"/>
      <c r="T27" s="67"/>
      <c r="U27" s="67"/>
      <c r="V27" s="67"/>
      <c r="W27" s="67"/>
      <c r="X27" s="67"/>
      <c r="Y27" s="67"/>
      <c r="Z27" s="67"/>
    </row>
    <row r="28" spans="1:26" ht="32.85" hidden="1" customHeight="1">
      <c r="A28" s="168" t="s">
        <v>29</v>
      </c>
      <c r="B28" s="166"/>
      <c r="C28" s="173"/>
      <c r="O28" s="67"/>
      <c r="P28" s="67"/>
      <c r="Q28" s="67"/>
      <c r="R28" s="67"/>
      <c r="S28" s="67"/>
      <c r="T28" s="67"/>
      <c r="U28" s="67"/>
      <c r="V28" s="67"/>
      <c r="W28" s="67"/>
      <c r="X28" s="67"/>
      <c r="Y28" s="67"/>
      <c r="Z28" s="67"/>
    </row>
    <row r="29" spans="1:26" ht="30" customHeight="1">
      <c r="A29" s="168" t="s">
        <v>30</v>
      </c>
      <c r="B29" s="166"/>
      <c r="C29" s="173"/>
      <c r="D29" s="423" t="str">
        <f>IF($E$14="English",_xlfn.XLOOKUP(A8,Descriptions!$A:$A,Descriptions!$B:$B),_xlfn.XLOOKUP(Introduction!A8,Descriptions!$A:$A,Descriptions!$C:$C))</f>
        <v>Vav í 'GHG Protocolini', sum hesin CO2-roknarin fevnir um:</v>
      </c>
      <c r="E29" s="423"/>
      <c r="F29" s="423"/>
      <c r="G29" s="423"/>
      <c r="H29" s="423"/>
      <c r="I29" s="423"/>
      <c r="J29" s="423"/>
      <c r="K29" s="423"/>
      <c r="L29" s="423"/>
      <c r="M29" s="423"/>
      <c r="N29" s="423"/>
      <c r="O29" s="67"/>
      <c r="P29" s="67"/>
      <c r="Q29" s="67"/>
      <c r="R29" s="67"/>
      <c r="S29" s="67"/>
      <c r="T29" s="67"/>
      <c r="U29" s="67"/>
      <c r="V29" s="67"/>
      <c r="W29" s="67"/>
      <c r="X29" s="67"/>
      <c r="Y29" s="67"/>
      <c r="Z29" s="67"/>
    </row>
    <row r="30" spans="1:26" ht="30" customHeight="1">
      <c r="A30" s="168" t="s">
        <v>31</v>
      </c>
      <c r="B30" s="166"/>
      <c r="C30" s="173"/>
      <c r="D30" s="295" t="str">
        <f>IF($E$14="English",_xlfn.XLOOKUP(A9,Descriptions!$A:$A,Descriptions!$B:$B),_xlfn.XLOOKUP(Introduction!A9,Descriptions!$A:$A,Descriptions!$C:$C))</f>
        <v>Vav</v>
      </c>
      <c r="E30" s="295" t="str">
        <f>IF($E$14="English",_xlfn.XLOOKUP(A11,Descriptions!$A:$A,Descriptions!$B:$B),_xlfn.XLOOKUP(Introduction!A11,Descriptions!$A:$A,Descriptions!$C:$C))</f>
        <v>Slag av virksemi</v>
      </c>
      <c r="F30" s="430" t="str">
        <f>IF($E$14="English",_xlfn.XLOOKUP(A12,Descriptions!$A:$A,Descriptions!$B:$B),_xlfn.XLOOKUP(Introduction!A12,Descriptions!$A:$A,Descriptions!$C:$C))</f>
        <v>Lýsing</v>
      </c>
      <c r="G30" s="430"/>
      <c r="H30" s="430"/>
      <c r="I30" s="430"/>
      <c r="J30" s="430"/>
      <c r="K30" s="430"/>
      <c r="L30" s="430" t="str">
        <f>IF($E$14="English",_xlfn.XLOOKUP(A49,Descriptions!$A:$A,Descriptions!$B:$B),_xlfn.XLOOKUP(Introduction!A49,Descriptions!$A:$A,Descriptions!$C:$C))</f>
        <v>Viðkomandi vegleiðingar</v>
      </c>
      <c r="M30" s="430"/>
      <c r="N30" s="430"/>
      <c r="O30" s="67"/>
      <c r="P30" s="67"/>
      <c r="Q30" s="67"/>
      <c r="R30" s="67"/>
      <c r="S30" s="67"/>
      <c r="T30" s="67"/>
      <c r="U30" s="67"/>
      <c r="V30" s="67"/>
      <c r="W30" s="67"/>
      <c r="X30" s="67"/>
      <c r="Y30" s="67"/>
      <c r="Z30" s="67"/>
    </row>
    <row r="31" spans="1:26" ht="100.35" customHeight="1">
      <c r="A31" s="168" t="s">
        <v>32</v>
      </c>
      <c r="B31" s="166"/>
      <c r="C31" s="173"/>
      <c r="D31" s="432" t="str">
        <f>IF($E$14="English",_xlfn.XLOOKUP(A13,Descriptions!$A:$A,Descriptions!$B:$B),_xlfn.XLOOKUP(Introduction!A13,Descriptions!$A:$A,Descriptions!$C:$C))</f>
        <v>Vav 1</v>
      </c>
      <c r="E31" s="317" t="str">
        <f>IF($E$14="English",_xlfn.XLOOKUP(A14,Descriptions!$A:$A,Descriptions!$B:$B),_xlfn.XLOOKUP(Introduction!A14,Descriptions!$A:$A,Descriptions!$C:$C))</f>
        <v>Brennievni - á ávísum stað</v>
      </c>
      <c r="F31" s="424" t="str">
        <f>IF($E$14="English",_xlfn.XLOOKUP(A17,Descriptions!$A:$A,Descriptions!$B:$B),_xlfn.XLOOKUP(Introduction!A17,Descriptions!$A:$A,Descriptions!$C:$C))</f>
        <v>Útlát frá brenning av føstum, flótandi ella luftvorðnum brennievni, vanliga í sambandi við at framleiða el-, damp- ella hita. Til dømis at brenna  gass, olju ella  kol í generatori, oljufýri ella aðrari útgerð, sum leiðir vakstrarhúsgass út í lofthavið.</v>
      </c>
      <c r="G31" s="424"/>
      <c r="H31" s="424"/>
      <c r="I31" s="424"/>
      <c r="J31" s="424"/>
      <c r="K31" s="424"/>
      <c r="L31" s="425" t="s">
        <v>33</v>
      </c>
      <c r="M31" s="425"/>
      <c r="N31" s="425"/>
      <c r="O31" s="67"/>
      <c r="P31" s="67"/>
      <c r="Q31" s="67"/>
      <c r="R31" s="67"/>
      <c r="S31" s="67"/>
      <c r="T31" s="67"/>
      <c r="U31" s="67"/>
      <c r="V31" s="67"/>
      <c r="W31" s="67"/>
      <c r="X31" s="67"/>
      <c r="Y31" s="67"/>
      <c r="Z31" s="67"/>
    </row>
    <row r="32" spans="1:26" ht="100.35" customHeight="1">
      <c r="A32" s="71" t="s">
        <v>34</v>
      </c>
      <c r="B32" s="166"/>
      <c r="C32" s="173"/>
      <c r="D32" s="432"/>
      <c r="E32" s="317" t="str">
        <f>IF($E$14="English",_xlfn.XLOOKUP(A15,Descriptions!$A:$A,Descriptions!$B:$B),_xlfn.XLOOKUP(Introduction!A15,Descriptions!$A:$A,Descriptions!$C:$C))</f>
        <v>Brennievni - flytførar eindir</v>
      </c>
      <c r="F32" s="424" t="str">
        <f>IF($E$14="English",_xlfn.XLOOKUP(A18,Descriptions!$A:$A,Descriptions!$B:$B),_xlfn.XLOOKUP(Introduction!A18,Descriptions!$A:$A,Descriptions!$C:$C))</f>
        <v>Útlát frá brennievni, brúkt í akførum, sum fyritøkan eigur ella leigar.</v>
      </c>
      <c r="G32" s="424"/>
      <c r="H32" s="424"/>
      <c r="I32" s="424"/>
      <c r="J32" s="424"/>
      <c r="K32" s="424"/>
      <c r="L32" s="425" t="s">
        <v>33</v>
      </c>
      <c r="M32" s="425"/>
      <c r="N32" s="425"/>
      <c r="O32" s="67"/>
      <c r="P32" s="67"/>
      <c r="Q32" s="67"/>
      <c r="R32" s="67"/>
      <c r="S32" s="67"/>
      <c r="T32" s="67"/>
      <c r="U32" s="67"/>
      <c r="V32" s="67"/>
      <c r="W32" s="67"/>
      <c r="X32" s="67"/>
      <c r="Y32" s="67"/>
      <c r="Z32" s="67"/>
    </row>
    <row r="33" spans="1:26" ht="100.35" customHeight="1">
      <c r="A33" s="71" t="s">
        <v>35</v>
      </c>
      <c r="B33" s="166"/>
      <c r="C33" s="173"/>
      <c r="D33" s="432"/>
      <c r="E33" s="317" t="str">
        <f>IF($E$14="English",_xlfn.XLOOKUP(A16,Descriptions!$A:$A,Descriptions!$B:$B),_xlfn.XLOOKUP(Introduction!A16,Descriptions!$A:$A,Descriptions!$C:$C))</f>
        <v>Kølievni</v>
      </c>
      <c r="F33" s="428" t="str">
        <f>IF($E$14="English",_xlfn.XLOOKUP(A19,Descriptions!$A:$A,Descriptions!$B:$B),_xlfn.XLOOKUP(Introduction!A19,Descriptions!$A:$A,Descriptions!$C:$C))</f>
        <v>Útlát frá lekum á køli- og luftskiftisskipanum, røkt og burturbeining av hesum skipanum</v>
      </c>
      <c r="G33" s="428"/>
      <c r="H33" s="428"/>
      <c r="I33" s="428"/>
      <c r="J33" s="428"/>
      <c r="K33" s="428"/>
      <c r="L33" s="425" t="s">
        <v>33</v>
      </c>
      <c r="M33" s="425"/>
      <c r="N33" s="425"/>
      <c r="O33" s="67"/>
      <c r="P33" s="67"/>
      <c r="Q33" s="67"/>
      <c r="R33" s="67"/>
      <c r="S33" s="67"/>
      <c r="T33" s="67"/>
      <c r="U33" s="67"/>
      <c r="V33" s="67"/>
      <c r="W33" s="67"/>
      <c r="X33" s="67"/>
      <c r="Y33" s="67"/>
      <c r="Z33" s="67"/>
    </row>
    <row r="34" spans="1:26" ht="100.35" customHeight="1">
      <c r="A34" s="71" t="s">
        <v>36</v>
      </c>
      <c r="B34" s="166"/>
      <c r="C34" s="173"/>
      <c r="D34" s="433" t="str">
        <f>IF($E$14="English",_xlfn.XLOOKUP(A20,Descriptions!$A:$A,Descriptions!$B:$B),_xlfn.XLOOKUP(Introduction!A20,Descriptions!$A:$A,Descriptions!$C:$C))</f>
        <v>Vav 2</v>
      </c>
      <c r="E34" s="317" t="str">
        <f>IF($E$14="English",_xlfn.XLOOKUP(A21,Descriptions!$A:$A,Descriptions!$B:$B),_xlfn.XLOOKUP(Introduction!A21,Descriptions!$A:$A,Descriptions!$C:$C))</f>
        <v>Elnýtsla</v>
      </c>
      <c r="F34" s="434" t="str">
        <f>IF($E$14="English",_xlfn.XLOOKUP(A23,Descriptions!$A:$A,Descriptions!$B:$B),_xlfn.XLOOKUP(Introduction!A23,Descriptions!$A:$A,Descriptions!$C:$C))</f>
        <v>Útlát frá elorku, ið fyritøkan keypir.
Tá útlát frá elorku verður roknað, kann hesin parturin roknast við støði í  annaðhvørt 'marknaði'- ella 'staðseting'- rokniháttunum.
Útlátið, ið verður roknað í  'V2 - Keypt el' rokniarkinum, verður roknað við støði í 'staðseting'-rokniháttinum. Hesar útrokningar vísa miðalútlátið frá tí elnetinum, ið verður nýtt.
(A 'market-based' method reflects emissions from electricity that the organisation has purchased. This is not included within this Calculator. 'Marked-based' útrokningar fara ætlandi at vera partur av komandi útgávum av CO2-roknaranum).</v>
      </c>
      <c r="G34" s="435"/>
      <c r="H34" s="435"/>
      <c r="I34" s="435"/>
      <c r="J34" s="435"/>
      <c r="K34" s="435"/>
      <c r="L34" s="426" t="s">
        <v>37</v>
      </c>
      <c r="M34" s="426"/>
      <c r="N34" s="426"/>
      <c r="O34" s="67"/>
      <c r="P34" s="67"/>
      <c r="Q34" s="67"/>
      <c r="R34" s="67"/>
      <c r="S34" s="67"/>
      <c r="T34" s="67"/>
      <c r="U34" s="67"/>
      <c r="V34" s="67"/>
      <c r="W34" s="67"/>
      <c r="X34" s="67"/>
      <c r="Y34" s="67"/>
      <c r="Z34" s="67"/>
    </row>
    <row r="35" spans="1:26" ht="100.35" customHeight="1">
      <c r="A35" s="71" t="s">
        <v>38</v>
      </c>
      <c r="B35" s="166"/>
      <c r="C35" s="173"/>
      <c r="D35" s="433"/>
      <c r="E35" s="317" t="str">
        <f>IF($E$14="English",_xlfn.XLOOKUP(A22,Descriptions!$A:$A,Descriptions!$B:$B),_xlfn.XLOOKUP(Introduction!A22,Descriptions!$A:$A,Descriptions!$C:$C))</f>
        <v>Fjarhiti</v>
      </c>
      <c r="F35" s="428" t="str">
        <f>IF($E$14="English",_xlfn.XLOOKUP(A24,Descriptions!$A:$A,Descriptions!$B:$B),_xlfn.XLOOKUP(Introduction!A24,Descriptions!$A:$A,Descriptions!$C:$C))</f>
        <v>Útlát frá dampi, hita og køling, sum verður latið gjøgnum netið/skipanina.</v>
      </c>
      <c r="G35" s="428"/>
      <c r="H35" s="428"/>
      <c r="I35" s="428"/>
      <c r="J35" s="428"/>
      <c r="K35" s="428"/>
      <c r="L35" s="426" t="s">
        <v>37</v>
      </c>
      <c r="M35" s="426"/>
      <c r="N35" s="426"/>
      <c r="O35" s="67"/>
      <c r="P35" s="67"/>
      <c r="Q35" s="67"/>
      <c r="R35" s="67"/>
      <c r="S35" s="67"/>
      <c r="T35" s="67"/>
      <c r="U35" s="67"/>
      <c r="V35" s="67"/>
      <c r="W35" s="67"/>
      <c r="X35" s="67"/>
      <c r="Y35" s="67"/>
      <c r="Z35" s="67"/>
    </row>
    <row r="36" spans="1:26" ht="100.35" customHeight="1">
      <c r="A36" s="71" t="s">
        <v>39</v>
      </c>
      <c r="B36" s="166"/>
      <c r="C36" s="173"/>
      <c r="D36" s="420" t="str">
        <f>IF($E$14="English",_xlfn.XLOOKUP(A25,Descriptions!$A:$A,Descriptions!$B:$B),_xlfn.XLOOKUP(Introduction!A25,Descriptions!$A:$A,Descriptions!$C:$C))</f>
        <v>Vav 3</v>
      </c>
      <c r="E36" s="317" t="str">
        <f>IF($E$14="English",_xlfn.XLOOKUP(A26,Descriptions!$A:$A,Descriptions!$B:$B),_xlfn.XLOOKUP(Introduction!A26,Descriptions!$A:$A,Descriptions!$C:$C))</f>
        <v>Rávøruveiting og -flutningur</v>
      </c>
      <c r="F36" s="424" t="str">
        <f>IF($E$14="English",_xlfn.XLOOKUP(A32,Descriptions!$A:$A,Descriptions!$B:$B),_xlfn.XLOOKUP(Introduction!A32,Descriptions!$A:$A,Descriptions!$C:$C))</f>
        <v>Flutningur og útkoyring av vørum, ið fyritøkan hevur keypt í fráboðanarárinum, millum høvuðsveitarar og virki fyritøkunnar (í akførum og hølum, sum fyritøkan ikki eigur ella hevur ræði á).
Flutningur og útkoyring av tænastum, ið fyritøkan hevur keypt í fráboðanarárinum, harímillum innkomandi logistikk og útfarandi logistikk (t.d. av seldum vørum), og flutningur og útbering millum egin høli (í akførum og hølum, sum fyritøkan ikki eigur ella hevur ræði á).</v>
      </c>
      <c r="G36" s="424"/>
      <c r="H36" s="424"/>
      <c r="I36" s="424"/>
      <c r="J36" s="424"/>
      <c r="K36" s="424"/>
      <c r="L36" s="425" t="s">
        <v>40</v>
      </c>
      <c r="M36" s="425"/>
      <c r="N36" s="425"/>
      <c r="O36" s="67"/>
      <c r="P36" s="67"/>
      <c r="Q36" s="67"/>
      <c r="R36" s="67"/>
      <c r="S36" s="67"/>
      <c r="T36" s="67"/>
      <c r="U36" s="67"/>
      <c r="V36" s="67"/>
      <c r="W36" s="67"/>
      <c r="X36" s="67"/>
      <c r="Y36" s="67"/>
      <c r="Z36" s="67"/>
    </row>
    <row r="37" spans="1:26" ht="100.35" customHeight="1">
      <c r="A37" s="71" t="s">
        <v>41</v>
      </c>
      <c r="B37" s="166"/>
      <c r="C37" s="173"/>
      <c r="D37" s="420"/>
      <c r="E37" s="317" t="str">
        <f>IF($E$14="English",_xlfn.XLOOKUP(A31,Descriptions!$A:$A,Descriptions!$B:$B),_xlfn.XLOOKUP(Introduction!A31,Descriptions!$A:$A,Descriptions!$C:$C))</f>
        <v>Liðugvøruveiting og -flutningur</v>
      </c>
      <c r="F37" s="424" t="str">
        <f>IF($E$14="English",_xlfn.XLOOKUP(A37,Descriptions!$A:$A,Descriptions!$B:$B),_xlfn.XLOOKUP(Introduction!A37,Descriptions!$A:$A,Descriptions!$C:$C))</f>
        <v>Útlát, sum stavar frá flutningi og útbering av seldum vørum, í akførum og hølum, sum fyritøkan ikki eigur ella hevur ræði á.</v>
      </c>
      <c r="G37" s="424"/>
      <c r="H37" s="424"/>
      <c r="I37" s="424"/>
      <c r="J37" s="424"/>
      <c r="K37" s="424"/>
      <c r="L37" s="425" t="s">
        <v>42</v>
      </c>
      <c r="M37" s="425"/>
      <c r="N37" s="425"/>
      <c r="O37" s="67"/>
      <c r="P37" s="67"/>
    </row>
    <row r="38" spans="1:26" ht="100.35" customHeight="1">
      <c r="A38" s="71" t="s">
        <v>43</v>
      </c>
      <c r="B38" s="166"/>
      <c r="C38" s="173"/>
      <c r="D38" s="420"/>
      <c r="E38" s="317" t="str">
        <f>IF($E$14="English",_xlfn.XLOOKUP(A29,Descriptions!$A:$A,Descriptions!$B:$B),_xlfn.XLOOKUP(Introduction!A29,Descriptions!$A:$A,Descriptions!$C:$C))</f>
        <v>Ferðing í arbeiðsørindum</v>
      </c>
      <c r="F38" s="424" t="str">
        <f>IF($E$14="English",_xlfn.XLOOKUP(A35,Descriptions!$A:$A,Descriptions!$B:$B),_xlfn.XLOOKUP(Introduction!A35,Descriptions!$A:$A,Descriptions!$C:$C))</f>
        <v>Útlát frá flutningi av starvsfólki í arbeiðsørindum/tænastuferðum, í akførum, sum triði partur eigur ella rekur, til dømis flogførum, bussum og bilum.</v>
      </c>
      <c r="G38" s="424"/>
      <c r="H38" s="424"/>
      <c r="I38" s="424"/>
      <c r="J38" s="424"/>
      <c r="K38" s="424"/>
      <c r="L38" s="425" t="s">
        <v>44</v>
      </c>
      <c r="M38" s="425"/>
      <c r="N38" s="425"/>
      <c r="O38" s="67"/>
      <c r="P38" s="67"/>
      <c r="Q38" s="67"/>
      <c r="R38" s="67"/>
      <c r="S38" s="67"/>
      <c r="T38" s="67"/>
      <c r="U38" s="67"/>
      <c r="V38" s="67"/>
      <c r="W38" s="67"/>
      <c r="X38" s="67"/>
      <c r="Y38" s="67"/>
      <c r="Z38" s="67"/>
    </row>
    <row r="39" spans="1:26" ht="100.35" customHeight="1">
      <c r="A39" s="71" t="s">
        <v>45</v>
      </c>
      <c r="B39" s="166"/>
      <c r="C39" s="173"/>
      <c r="D39" s="420"/>
      <c r="E39" s="317" t="str">
        <f>IF($E$14="English",_xlfn.XLOOKUP(A30,Descriptions!$A:$A,Descriptions!$B:$B),_xlfn.XLOOKUP(Introduction!A30,Descriptions!$A:$A,Descriptions!$C:$C))</f>
        <v xml:space="preserve">Starvsfólk, ferðing til og frá arbeiði </v>
      </c>
      <c r="F39" s="424" t="str">
        <f>IF($E$14="English",_xlfn.XLOOKUP(A36,Descriptions!$A:$A,Descriptions!$B:$B),_xlfn.XLOOKUP(Introduction!A36,Descriptions!$A:$A,Descriptions!$C:$C))</f>
        <v>Útlát, sum stavar frá flutningi av starvsfólki millum bústað teirra og arbeiðsplássið.</v>
      </c>
      <c r="G39" s="424"/>
      <c r="H39" s="424"/>
      <c r="I39" s="424"/>
      <c r="J39" s="424"/>
      <c r="K39" s="424"/>
      <c r="L39" s="425" t="s">
        <v>46</v>
      </c>
      <c r="M39" s="425"/>
      <c r="N39" s="425"/>
      <c r="O39" s="67"/>
      <c r="P39" s="67"/>
      <c r="Q39" s="67"/>
      <c r="R39" s="67"/>
      <c r="S39" s="67"/>
      <c r="T39" s="67"/>
      <c r="U39" s="67"/>
      <c r="V39" s="67"/>
      <c r="W39" s="67"/>
      <c r="X39" s="67"/>
      <c r="Y39" s="67"/>
      <c r="Z39" s="67"/>
    </row>
    <row r="40" spans="1:26" ht="100.35" customHeight="1">
      <c r="A40" s="71" t="s">
        <v>47</v>
      </c>
      <c r="B40" s="166"/>
      <c r="C40" s="173"/>
      <c r="D40" s="420"/>
      <c r="E40" s="317" t="str">
        <f>IF($E$14="English",_xlfn.XLOOKUP(A28,Descriptions!$A:$A,Descriptions!$B:$B),_xlfn.XLOOKUP(Introduction!A28,Descriptions!$A:$A,Descriptions!$C:$C))</f>
        <v>Burturkast, sum stavar frá virksemi</v>
      </c>
      <c r="F40" s="424" t="str">
        <f>IF($E$14="English",_xlfn.XLOOKUP(A34,Descriptions!$A:$A,Descriptions!$B:$B),_xlfn.XLOOKUP(Introduction!A34,Descriptions!$A:$A,Descriptions!$C:$C))</f>
        <v>Burturbeining og viðgerð av burturkasti frá virksemi hjá fyritøkuni í fráboðanarárinum (í hølum, sum fyritøkan ikki eigur ella hevur ræði á).</v>
      </c>
      <c r="G40" s="424"/>
      <c r="H40" s="424"/>
      <c r="I40" s="424"/>
      <c r="J40" s="424"/>
      <c r="K40" s="424"/>
      <c r="L40" s="425" t="s">
        <v>48</v>
      </c>
      <c r="M40" s="425"/>
      <c r="N40" s="425"/>
      <c r="O40" s="67"/>
      <c r="P40" s="67"/>
      <c r="Q40" s="67"/>
      <c r="R40" s="67"/>
      <c r="S40" s="67"/>
      <c r="T40" s="67"/>
      <c r="U40" s="67"/>
      <c r="V40" s="67"/>
      <c r="W40" s="67"/>
      <c r="X40" s="67"/>
      <c r="Y40" s="67"/>
      <c r="Z40" s="67"/>
    </row>
    <row r="41" spans="1:26" ht="100.35" customHeight="1">
      <c r="A41" s="71" t="s">
        <v>49</v>
      </c>
      <c r="B41" s="172"/>
      <c r="C41" s="173"/>
      <c r="D41" s="420"/>
      <c r="E41" s="317" t="str">
        <f>IF($E$14="English",_xlfn.XLOOKUP(A27,Descriptions!$A:$A,Descriptions!$B:$B),_xlfn.XLOOKUP(Introduction!A27,Descriptions!$A:$A,Descriptions!$C:$C))</f>
        <v>Virksemi tengt at brennievni og orku</v>
      </c>
      <c r="F41" s="424" t="str">
        <f>IF($E$14="English",_xlfn.XLOOKUP(A33,Descriptions!$A:$A,Descriptions!$B:$B),_xlfn.XLOOKUP(Introduction!A33,Descriptions!$A:$A,Descriptions!$C:$C))</f>
        <v>Útlát sum stavar frá framleiðslu av brennievni og orku, ið fyritøkan hevur keypt og brúkt í fráboðanarárinum, sum ikki er fevnt av Vav 1 ella 2 (t.d. útlát frá el-leiðing og -veiting og frá flutningi av brennievni frá keldu til tanga).
GG! Roknarin roknar sjálvvirkandi hetta útlát á ymsum rokniørkum. Brúkarin skal ikki tøppa dátur inn.</v>
      </c>
      <c r="G41" s="424"/>
      <c r="H41" s="424"/>
      <c r="I41" s="424"/>
      <c r="J41" s="424"/>
      <c r="K41" s="424"/>
      <c r="L41" s="425" t="s">
        <v>50</v>
      </c>
      <c r="M41" s="425"/>
      <c r="N41" s="425"/>
      <c r="O41" s="67"/>
      <c r="P41" s="67"/>
    </row>
    <row r="42" spans="1:26" ht="17.100000000000001" customHeight="1">
      <c r="A42" s="71" t="s">
        <v>51</v>
      </c>
      <c r="B42" s="172"/>
      <c r="C42" s="173"/>
      <c r="D42" s="420"/>
      <c r="E42" s="74" t="str">
        <f>IF($E$14="English",_xlfn.XLOOKUP(A54,Descriptions!$A:$A,Descriptions!$B:$B),_xlfn.XLOOKUP(Introduction!A54,Descriptions!$A:$A,Descriptions!$C:$C))</f>
        <v>Keyptar vørur og tænastur</v>
      </c>
      <c r="F42" s="421" t="str">
        <f>IF($E$14="English",_xlfn.XLOOKUP($A$63,Descriptions!$A:$A,Descriptions!$B:$B),_xlfn.XLOOKUP(Introduction!$A$63,Descriptions!$A:$A,Descriptions!$C:$C))</f>
        <v>Ikki tøkt í hesum roknara. Vinaliga kanna um til ber at rokna útláti á annan hátt, um hetta er viðkomandi fyri fyritøku tykkara.</v>
      </c>
      <c r="G42" s="421"/>
      <c r="H42" s="421"/>
      <c r="I42" s="421"/>
      <c r="J42" s="421"/>
      <c r="K42" s="421"/>
      <c r="L42" s="422" t="s">
        <v>52</v>
      </c>
      <c r="M42" s="422"/>
      <c r="N42" s="422"/>
      <c r="O42" s="67"/>
      <c r="P42" s="67"/>
      <c r="Q42" s="67"/>
      <c r="R42" s="67"/>
      <c r="S42" s="67"/>
      <c r="T42" s="67"/>
      <c r="U42" s="67"/>
      <c r="V42" s="67"/>
      <c r="W42" s="67"/>
      <c r="X42" s="67"/>
      <c r="Y42" s="67"/>
      <c r="Z42" s="67"/>
    </row>
    <row r="43" spans="1:26" ht="17.100000000000001" customHeight="1">
      <c r="A43" s="71" t="s">
        <v>53</v>
      </c>
      <c r="B43" s="172"/>
      <c r="C43" s="173"/>
      <c r="D43" s="420"/>
      <c r="E43" s="74" t="str">
        <f>IF($E$14="English",_xlfn.XLOOKUP(A55,Descriptions!$A:$A,Descriptions!$B:$B),_xlfn.XLOOKUP(Introduction!A55,Descriptions!$A:$A,Descriptions!$C:$C))</f>
        <v>Íløgugóðar</v>
      </c>
      <c r="F43" s="421" t="str">
        <f>IF($E$14="English",_xlfn.XLOOKUP($A$63,Descriptions!$A:$A,Descriptions!$B:$B),_xlfn.XLOOKUP(Introduction!$A$63,Descriptions!$A:$A,Descriptions!$C:$C))</f>
        <v>Ikki tøkt í hesum roknara. Vinaliga kanna um til ber at rokna útláti á annan hátt, um hetta er viðkomandi fyri fyritøku tykkara.</v>
      </c>
      <c r="G43" s="421"/>
      <c r="H43" s="421"/>
      <c r="I43" s="421"/>
      <c r="J43" s="421"/>
      <c r="K43" s="421"/>
      <c r="L43" s="422" t="s">
        <v>54</v>
      </c>
      <c r="M43" s="422"/>
      <c r="N43" s="422"/>
      <c r="O43" s="67"/>
      <c r="P43" s="67"/>
      <c r="Q43" s="67"/>
      <c r="R43" s="67"/>
      <c r="S43" s="67"/>
      <c r="T43" s="67"/>
      <c r="U43" s="67"/>
      <c r="V43" s="67"/>
      <c r="W43" s="67"/>
      <c r="X43" s="67"/>
      <c r="Y43" s="67"/>
      <c r="Z43" s="67"/>
    </row>
    <row r="44" spans="1:26" ht="17.100000000000001" customHeight="1">
      <c r="A44" s="71" t="s">
        <v>55</v>
      </c>
      <c r="B44" s="172"/>
      <c r="C44" s="173"/>
      <c r="D44" s="420"/>
      <c r="E44" s="74" t="str">
        <f>IF($E$14="English",_xlfn.XLOOKUP(A56,Descriptions!$A:$A,Descriptions!$B:$B),_xlfn.XLOOKUP(Introduction!A56,Descriptions!$A:$A,Descriptions!$C:$C))</f>
        <v>Langleigaðar rávøruognir</v>
      </c>
      <c r="F44" s="421" t="str">
        <f>IF($E$14="English",_xlfn.XLOOKUP($A$63,Descriptions!$A:$A,Descriptions!$B:$B),_xlfn.XLOOKUP(Introduction!$A$63,Descriptions!$A:$A,Descriptions!$C:$C))</f>
        <v>Ikki tøkt í hesum roknara. Vinaliga kanna um til ber at rokna útláti á annan hátt, um hetta er viðkomandi fyri fyritøku tykkara.</v>
      </c>
      <c r="G44" s="421"/>
      <c r="H44" s="421"/>
      <c r="I44" s="421"/>
      <c r="J44" s="421"/>
      <c r="K44" s="421"/>
      <c r="L44" s="422" t="s">
        <v>56</v>
      </c>
      <c r="M44" s="422"/>
      <c r="N44" s="422"/>
      <c r="O44" s="67"/>
      <c r="P44" s="67"/>
      <c r="Q44" s="67"/>
      <c r="R44" s="67"/>
      <c r="S44" s="67"/>
      <c r="T44" s="67"/>
      <c r="U44" s="67"/>
      <c r="V44" s="67"/>
      <c r="W44" s="67"/>
      <c r="X44" s="67"/>
      <c r="Y44" s="67"/>
      <c r="Z44" s="67"/>
    </row>
    <row r="45" spans="1:26" ht="17.100000000000001" customHeight="1">
      <c r="A45" s="71" t="s">
        <v>57</v>
      </c>
      <c r="B45" s="172"/>
      <c r="C45" s="173"/>
      <c r="D45" s="420"/>
      <c r="E45" s="74" t="str">
        <f>IF($E$14="English",_xlfn.XLOOKUP(A57,Descriptions!$A:$A,Descriptions!$B:$B),_xlfn.XLOOKUP(Introduction!A57,Descriptions!$A:$A,Descriptions!$C:$C))</f>
        <v>Viðgerð av seldum vørum</v>
      </c>
      <c r="F45" s="421" t="str">
        <f>IF($E$14="English",_xlfn.XLOOKUP($A$63,Descriptions!$A:$A,Descriptions!$B:$B),_xlfn.XLOOKUP(Introduction!$A$63,Descriptions!$A:$A,Descriptions!$C:$C))</f>
        <v>Ikki tøkt í hesum roknara. Vinaliga kanna um til ber at rokna útláti á annan hátt, um hetta er viðkomandi fyri fyritøku tykkara.</v>
      </c>
      <c r="G45" s="421"/>
      <c r="H45" s="421"/>
      <c r="I45" s="421"/>
      <c r="J45" s="421"/>
      <c r="K45" s="421"/>
      <c r="L45" s="422" t="s">
        <v>58</v>
      </c>
      <c r="M45" s="422"/>
      <c r="N45" s="422"/>
      <c r="O45" s="67"/>
      <c r="P45" s="67"/>
      <c r="Q45" s="67"/>
      <c r="R45" s="67"/>
      <c r="S45" s="67"/>
      <c r="T45" s="67"/>
      <c r="U45" s="67"/>
      <c r="V45" s="67"/>
      <c r="W45" s="67"/>
      <c r="X45" s="67"/>
      <c r="Y45" s="67"/>
      <c r="Z45" s="67"/>
    </row>
    <row r="46" spans="1:26" ht="17.100000000000001" customHeight="1">
      <c r="A46" s="71" t="s">
        <v>59</v>
      </c>
      <c r="B46" s="172"/>
      <c r="C46" s="173"/>
      <c r="D46" s="420"/>
      <c r="E46" s="74" t="str">
        <f>IF($E$14="English",_xlfn.XLOOKUP(A58,Descriptions!$A:$A,Descriptions!$B:$B),_xlfn.XLOOKUP(Introduction!A58,Descriptions!$A:$A,Descriptions!$C:$C))</f>
        <v>Nýtsla av seldum vørum</v>
      </c>
      <c r="F46" s="421" t="str">
        <f>IF($E$14="English",_xlfn.XLOOKUP($A$63,Descriptions!$A:$A,Descriptions!$B:$B),_xlfn.XLOOKUP(Introduction!$A$63,Descriptions!$A:$A,Descriptions!$C:$C))</f>
        <v>Ikki tøkt í hesum roknara. Vinaliga kanna um til ber at rokna útláti á annan hátt, um hetta er viðkomandi fyri fyritøku tykkara.</v>
      </c>
      <c r="G46" s="421"/>
      <c r="H46" s="421"/>
      <c r="I46" s="421"/>
      <c r="J46" s="421"/>
      <c r="K46" s="421"/>
      <c r="L46" s="422" t="s">
        <v>60</v>
      </c>
      <c r="M46" s="422"/>
      <c r="N46" s="422"/>
      <c r="O46" s="67"/>
      <c r="P46" s="67"/>
      <c r="Q46" s="67"/>
      <c r="R46" s="67"/>
      <c r="S46" s="67"/>
      <c r="T46" s="67"/>
      <c r="U46" s="67"/>
      <c r="V46" s="67"/>
      <c r="W46" s="67"/>
      <c r="X46" s="67"/>
      <c r="Y46" s="67"/>
      <c r="Z46" s="67"/>
    </row>
    <row r="47" spans="1:26" ht="17.100000000000001" customHeight="1">
      <c r="A47" s="71" t="s">
        <v>61</v>
      </c>
      <c r="B47" s="172"/>
      <c r="C47" s="173"/>
      <c r="D47" s="420"/>
      <c r="E47" s="74" t="str">
        <f>IF($E$14="English",_xlfn.XLOOKUP(A59,Descriptions!$A:$A,Descriptions!$B:$B),_xlfn.XLOOKUP(Introduction!A59,Descriptions!$A:$A,Descriptions!$C:$C))</f>
        <v>Endaviðgerð av seldum vørum</v>
      </c>
      <c r="F47" s="421" t="str">
        <f>IF($E$14="English",_xlfn.XLOOKUP($A$63,Descriptions!$A:$A,Descriptions!$B:$B),_xlfn.XLOOKUP(Introduction!$A$63,Descriptions!$A:$A,Descriptions!$C:$C))</f>
        <v>Ikki tøkt í hesum roknara. Vinaliga kanna um til ber at rokna útláti á annan hátt, um hetta er viðkomandi fyri fyritøku tykkara.</v>
      </c>
      <c r="G47" s="421"/>
      <c r="H47" s="421"/>
      <c r="I47" s="421"/>
      <c r="J47" s="421"/>
      <c r="K47" s="421"/>
      <c r="L47" s="422" t="s">
        <v>62</v>
      </c>
      <c r="M47" s="422"/>
      <c r="N47" s="422"/>
      <c r="O47" s="67"/>
      <c r="P47" s="67"/>
      <c r="Q47" s="67"/>
      <c r="R47" s="67"/>
      <c r="S47" s="67"/>
      <c r="T47" s="67"/>
      <c r="U47" s="67"/>
      <c r="V47" s="67"/>
      <c r="W47" s="67"/>
      <c r="X47" s="67"/>
      <c r="Y47" s="67"/>
      <c r="Z47" s="67"/>
    </row>
    <row r="48" spans="1:26" ht="17.100000000000001" customHeight="1">
      <c r="A48" s="71" t="s">
        <v>63</v>
      </c>
      <c r="B48" s="172"/>
      <c r="C48" s="173"/>
      <c r="D48" s="420"/>
      <c r="E48" s="74" t="str">
        <f>IF($E$14="English",_xlfn.XLOOKUP(A60,Descriptions!$A:$A,Descriptions!$B:$B),_xlfn.XLOOKUP(Introduction!A60,Descriptions!$A:$A,Descriptions!$C:$C))</f>
        <v>Langtíðarleigaðar liðugvøruognir</v>
      </c>
      <c r="F48" s="421" t="str">
        <f>IF($E$14="English",_xlfn.XLOOKUP($A$63,Descriptions!$A:$A,Descriptions!$B:$B),_xlfn.XLOOKUP(Introduction!$A$63,Descriptions!$A:$A,Descriptions!$C:$C))</f>
        <v>Ikki tøkt í hesum roknara. Vinaliga kanna um til ber at rokna útláti á annan hátt, um hetta er viðkomandi fyri fyritøku tykkara.</v>
      </c>
      <c r="G48" s="421"/>
      <c r="H48" s="421"/>
      <c r="I48" s="421"/>
      <c r="J48" s="421"/>
      <c r="K48" s="421"/>
      <c r="L48" s="422" t="s">
        <v>64</v>
      </c>
      <c r="M48" s="422"/>
      <c r="N48" s="422"/>
      <c r="O48" s="67"/>
      <c r="P48" s="67"/>
      <c r="Q48" s="67"/>
      <c r="R48" s="67"/>
      <c r="S48" s="67"/>
      <c r="T48" s="67"/>
      <c r="U48" s="67"/>
      <c r="V48" s="67"/>
      <c r="W48" s="67"/>
      <c r="X48" s="67"/>
      <c r="Y48" s="67"/>
      <c r="Z48" s="67"/>
    </row>
    <row r="49" spans="1:26" ht="17.100000000000001" customHeight="1">
      <c r="A49" s="71" t="s">
        <v>65</v>
      </c>
      <c r="B49" s="172"/>
      <c r="C49" s="173"/>
      <c r="D49" s="420"/>
      <c r="E49" s="74" t="str">
        <f>IF($E$14="English",_xlfn.XLOOKUP(A61,Descriptions!$A:$A,Descriptions!$B:$B),_xlfn.XLOOKUP(Introduction!A61,Descriptions!$A:$A,Descriptions!$C:$C))</f>
        <v>Einkarumboð</v>
      </c>
      <c r="F49" s="421" t="str">
        <f>IF($E$14="English",_xlfn.XLOOKUP($A$63,Descriptions!$A:$A,Descriptions!$B:$B),_xlfn.XLOOKUP(Introduction!$A$63,Descriptions!$A:$A,Descriptions!$C:$C))</f>
        <v>Ikki tøkt í hesum roknara. Vinaliga kanna um til ber at rokna útláti á annan hátt, um hetta er viðkomandi fyri fyritøku tykkara.</v>
      </c>
      <c r="G49" s="421"/>
      <c r="H49" s="421"/>
      <c r="I49" s="421"/>
      <c r="J49" s="421"/>
      <c r="K49" s="421"/>
      <c r="L49" s="422" t="s">
        <v>66</v>
      </c>
      <c r="M49" s="422"/>
      <c r="N49" s="422"/>
      <c r="O49" s="67"/>
      <c r="P49" s="67"/>
      <c r="Q49" s="67"/>
      <c r="R49" s="67"/>
      <c r="S49" s="67"/>
      <c r="T49" s="67"/>
      <c r="U49" s="67"/>
      <c r="V49" s="67"/>
      <c r="W49" s="67"/>
      <c r="X49" s="67"/>
      <c r="Y49" s="67"/>
      <c r="Z49" s="67"/>
    </row>
    <row r="50" spans="1:26" ht="17.100000000000001" customHeight="1">
      <c r="A50" s="71" t="s">
        <v>67</v>
      </c>
      <c r="B50" s="172"/>
      <c r="C50" s="173"/>
      <c r="D50" s="420"/>
      <c r="E50" s="74" t="str">
        <f>IF($E$14="English",_xlfn.XLOOKUP(A62,Descriptions!$A:$A,Descriptions!$B:$B),_xlfn.XLOOKUP(Introduction!A62,Descriptions!$A:$A,Descriptions!$C:$C))</f>
        <v>Íløgur</v>
      </c>
      <c r="F50" s="421" t="str">
        <f>IF($E$14="English",_xlfn.XLOOKUP($A$63,Descriptions!$A:$A,Descriptions!$B:$B),_xlfn.XLOOKUP(Introduction!$A$63,Descriptions!$A:$A,Descriptions!$C:$C))</f>
        <v>Ikki tøkt í hesum roknara. Vinaliga kanna um til ber at rokna útláti á annan hátt, um hetta er viðkomandi fyri fyritøku tykkara.</v>
      </c>
      <c r="G50" s="421"/>
      <c r="H50" s="421"/>
      <c r="I50" s="421"/>
      <c r="J50" s="421"/>
      <c r="K50" s="421"/>
      <c r="L50" s="422" t="s">
        <v>68</v>
      </c>
      <c r="M50" s="422"/>
      <c r="N50" s="422"/>
      <c r="O50" s="67"/>
      <c r="P50" s="67"/>
      <c r="Q50" s="67"/>
      <c r="R50" s="67"/>
      <c r="S50" s="67"/>
      <c r="T50" s="67"/>
      <c r="U50" s="67"/>
      <c r="V50" s="67"/>
      <c r="W50" s="67"/>
      <c r="X50" s="67"/>
      <c r="Y50" s="67"/>
      <c r="Z50" s="67"/>
    </row>
    <row r="51" spans="1:26" ht="18.600000000000001" customHeight="1">
      <c r="A51" s="71" t="s">
        <v>69</v>
      </c>
      <c r="B51" s="172"/>
      <c r="C51" s="173"/>
      <c r="D51" s="67"/>
      <c r="E51" s="67"/>
      <c r="F51" s="67"/>
      <c r="G51" s="67"/>
      <c r="H51" s="67"/>
      <c r="I51" s="67"/>
      <c r="J51" s="67"/>
      <c r="K51" s="67"/>
      <c r="L51" s="67"/>
      <c r="M51" s="67"/>
      <c r="N51" s="67"/>
      <c r="O51" s="67"/>
      <c r="P51" s="67"/>
      <c r="Q51" s="67"/>
      <c r="R51" s="67"/>
      <c r="S51" s="67"/>
      <c r="T51" s="67"/>
      <c r="U51" s="67"/>
      <c r="V51" s="67"/>
      <c r="W51" s="67"/>
      <c r="X51" s="67"/>
      <c r="Y51" s="67"/>
      <c r="Z51" s="67"/>
    </row>
    <row r="52" spans="1:26" ht="21.6" hidden="1" customHeight="1">
      <c r="B52" s="172"/>
      <c r="C52" s="173"/>
      <c r="E52" s="67"/>
      <c r="F52" s="67"/>
      <c r="G52" s="67"/>
      <c r="H52" s="67"/>
      <c r="I52" s="67"/>
      <c r="J52" s="67"/>
      <c r="K52" s="67"/>
      <c r="L52" s="67"/>
      <c r="M52" s="67"/>
      <c r="N52" s="67"/>
      <c r="O52" s="67"/>
      <c r="P52" s="67"/>
      <c r="Q52" s="67"/>
      <c r="R52" s="67"/>
      <c r="S52" s="67"/>
      <c r="T52" s="67"/>
      <c r="U52" s="67"/>
      <c r="V52" s="67"/>
      <c r="W52" s="67"/>
      <c r="X52" s="67"/>
      <c r="Y52" s="67"/>
      <c r="Z52" s="67"/>
    </row>
    <row r="53" spans="1:26" ht="21.6" hidden="1" customHeight="1">
      <c r="B53" s="172"/>
      <c r="C53" s="173"/>
      <c r="D53" s="67"/>
      <c r="E53" s="67"/>
      <c r="F53" s="67"/>
      <c r="G53" s="67"/>
      <c r="H53" s="67"/>
      <c r="I53" s="67"/>
      <c r="J53" s="67"/>
      <c r="K53" s="67"/>
      <c r="L53" s="67"/>
      <c r="M53" s="67"/>
      <c r="N53" s="67"/>
      <c r="O53" s="67"/>
      <c r="P53" s="67"/>
      <c r="Q53" s="67"/>
      <c r="R53" s="67"/>
      <c r="S53" s="67"/>
      <c r="T53" s="67"/>
      <c r="U53" s="67"/>
      <c r="V53" s="67"/>
      <c r="W53" s="67"/>
      <c r="X53" s="67"/>
      <c r="Y53" s="67"/>
      <c r="Z53" s="67"/>
    </row>
    <row r="54" spans="1:26" ht="30" customHeight="1">
      <c r="A54" s="71" t="s">
        <v>70</v>
      </c>
      <c r="B54" s="172"/>
      <c r="C54" s="173"/>
      <c r="D54" s="423" t="str">
        <f>IF($E$14="English",_xlfn.XLOOKUP(A39,Descriptions!$A:$A,Descriptions!$B:$B),_xlfn.XLOOKUP(Introduction!A39,Descriptions!$A:$A,Descriptions!$C:$C))</f>
        <v>Nýtsluvegleiðing</v>
      </c>
      <c r="E54" s="423"/>
      <c r="F54" s="423"/>
      <c r="G54" s="423"/>
      <c r="H54" s="423"/>
      <c r="I54" s="423"/>
      <c r="J54" s="423"/>
      <c r="K54" s="423"/>
      <c r="L54" s="423"/>
      <c r="M54" s="423"/>
      <c r="N54" s="423"/>
      <c r="O54" s="67"/>
      <c r="P54" s="67"/>
      <c r="Q54" s="67"/>
      <c r="R54" s="67"/>
      <c r="S54" s="67"/>
      <c r="T54" s="67"/>
      <c r="U54" s="67"/>
      <c r="V54" s="67"/>
      <c r="W54" s="67"/>
      <c r="X54" s="67"/>
      <c r="Y54" s="67"/>
      <c r="Z54" s="67"/>
    </row>
    <row r="55" spans="1:26" ht="183.6" customHeight="1">
      <c r="A55" s="71" t="s">
        <v>71</v>
      </c>
      <c r="B55" s="172"/>
      <c r="C55" s="173"/>
      <c r="D55" s="424" t="str">
        <f>IF($E$14="English",_xlfn.XLOOKUP(A40,Descriptions!$A:$A,Descriptions!$B:$B),_xlfn.XLOOKUP(Introduction!A40,Descriptions!$A:$A,Descriptions!$C:$C))</f>
        <v>1. Set inn upplýsingar um fyritøkuna í skiljiarkið 'Fyritøkuupplýsingar'
2. Fyri at rokna útlátið, skal brúkarin seta dátur um virksemi fyritøkunnar í øll skiljiørkini. Ymiskt er, hvørjar dátur eru kravdar á einstøku skiljiørkunum. Fyri at lætta um, er vegleiðing um hvørjar dátur eru kravdar fyri at rokna útlát, sett ovast á hvørjum skiljiarki.
3. Tá ið brúkarin hevur savnað dáturnar um virksemið hjá fyritøkuni, kann hann/hon seta tær inn í hvørt skiljiarkið og rokna útlátið (í tonsum av CO2 eindum). Fyri at sleppa undan villum, eiga talvurnar á hvørjum skiljiarki at verða fyltar út úr vinstru yvir í høgru. Neyvari vegleiðing til roknihættir fyri hvørt arkið er ovast á hvørjum arki.
GG! Til útrokningarnar nýtir roknarin útlátsvirði frá ymiskum dátukeldum, sum eru lýstar í teiginum 'Útlátsfaktorar' niðanfyri.
4. Útlátið (í tonsum av CO2 eindum) verður roknað fyri hvørja rekkju av dátum á hvørjum arki. Samanlagda talið sæst niðast á hvørjum arki. Samandráttur av vav/slagi av virksemi er í teiginum 'Samandráttur'.</v>
      </c>
      <c r="E55" s="424"/>
      <c r="F55" s="424"/>
      <c r="G55" s="424"/>
      <c r="H55" s="424"/>
      <c r="I55" s="424"/>
      <c r="J55" s="424"/>
      <c r="K55" s="424"/>
      <c r="L55" s="424"/>
      <c r="M55" s="424"/>
      <c r="N55" s="424"/>
      <c r="O55" s="67"/>
      <c r="P55" s="67"/>
      <c r="Q55" s="67"/>
      <c r="R55" s="67"/>
      <c r="S55" s="67"/>
      <c r="T55" s="67"/>
      <c r="U55" s="67"/>
      <c r="V55" s="67"/>
      <c r="W55" s="67"/>
      <c r="X55" s="67"/>
      <c r="Y55" s="67"/>
      <c r="Z55" s="67"/>
    </row>
    <row r="56" spans="1:26">
      <c r="A56" s="71" t="s">
        <v>72</v>
      </c>
      <c r="B56" s="166"/>
      <c r="C56" s="173"/>
      <c r="D56" s="67"/>
      <c r="E56" s="67"/>
      <c r="F56" s="67"/>
      <c r="G56" s="67"/>
      <c r="H56" s="67"/>
      <c r="I56" s="67"/>
      <c r="J56" s="67"/>
      <c r="K56" s="67"/>
      <c r="L56" s="67"/>
      <c r="M56" s="67"/>
      <c r="N56" s="67"/>
      <c r="O56" s="67"/>
      <c r="P56" s="67"/>
      <c r="Q56" s="67"/>
      <c r="R56" s="67"/>
      <c r="S56" s="67"/>
      <c r="T56" s="67"/>
      <c r="U56" s="67"/>
      <c r="V56" s="67"/>
      <c r="W56" s="67"/>
      <c r="X56" s="67"/>
      <c r="Y56" s="67"/>
      <c r="Z56" s="67"/>
    </row>
    <row r="57" spans="1:26" ht="30" customHeight="1">
      <c r="A57" s="71" t="s">
        <v>73</v>
      </c>
      <c r="B57" s="166"/>
      <c r="C57" s="173"/>
      <c r="D57" s="423" t="str">
        <f>IF($E$14="English",_xlfn.XLOOKUP(A50,Descriptions!$A:$A,Descriptions!$B:$B),_xlfn.XLOOKUP(Introduction!A50,Descriptions!$A:$A,Descriptions!$C:$C))</f>
        <v>Útlátsfaktorar</v>
      </c>
      <c r="E57" s="423"/>
      <c r="F57" s="423"/>
      <c r="G57" s="423"/>
      <c r="H57" s="423"/>
      <c r="I57" s="423"/>
      <c r="J57" s="423"/>
      <c r="K57" s="423"/>
      <c r="L57" s="423"/>
      <c r="M57" s="423"/>
      <c r="N57" s="423"/>
      <c r="O57" s="67"/>
      <c r="P57" s="67"/>
      <c r="Q57" s="67"/>
      <c r="R57" s="67"/>
      <c r="S57" s="67"/>
      <c r="T57" s="67"/>
      <c r="U57" s="67"/>
      <c r="V57" s="67"/>
      <c r="W57" s="67"/>
      <c r="X57" s="67"/>
      <c r="Y57" s="67"/>
      <c r="Z57" s="67"/>
    </row>
    <row r="58" spans="1:26" ht="311.25" customHeight="1">
      <c r="A58" s="71" t="s">
        <v>74</v>
      </c>
      <c r="B58" s="166"/>
      <c r="C58" s="173"/>
      <c r="D58" s="424" t="str">
        <f>IF($E$14="English",_xlfn.XLOOKUP(A47,Descriptions!$A:$A,Descriptions!$B:$B),_xlfn.XLOOKUP(Introduction!A47,Descriptions!$A:$A,Descriptions!$C:$C))</f>
        <v>CO2-roknarin nýtir nýggjastu útlátsfaktorar frá hesum keldum :
•  Føroyskir útlátsfaktorar (Umhvørvisstovan, 2023)
    www.us.fo
•  Danskir útlátsfaktorar (Aarhus Universitet, Institut for Miljøvidenskab, 2022) 
    https://envs.au.dk/en/research-areas/air-pollution-emissions-and-effects/air-emissions/emission-factors
•  Bretskar útlátsfaktorer (UK BEIS GHG Conversion Factors, 2023)
    https://www.gov.uk/government/publications/greenhouse-gas-reporting-conversion-factors-2023
Fyri at kunna samanbera útlát av øllum sløgum av vakstrarhúsgassi, verða útlát gjørt upp í 'kg av CO2 eindum' ella 'kgCO2e'. KgCO2e fevnur um útlát av CO2, CH4, og N2O, sum verður roknað við upphitingarvirði frá AR5 (IPCC, Assement Report no. 5) (sí 'Íroknað vakstrarhúsgass' niðanfyri).
Samanlagda útlátið í 'kg CO2e' á hvørjum arki verður deilt við 1000 fyri at fáa útlátið í 'tonsum av CO2 eindum'.
Neyvari lýsingar av ávísa útlátsfaktorinum, ið verður brúktur, eru á hvørjum einstøkum arki undir 'Útlátsfaktorkelda'.
Summurin av kg CO2e útlátinum í hvørjum rokniarki verður deilt við 1000 fyri at geva 'tons av CO2 eindum' útlát.
G.G.: 
Útlástfaktorarnir eru ofta umroknaðir frá eindum, sum keldan brúkar, til eindina, sum brúkarin setir inn (t.d. kg CO2e/GJ til kg CO2e/litur). Hesir umrokningarfaktorar stava frá "UK BEIS GHG Conversion Factors (2022)", undantikið Biogas GJ ella kWh til litrar, sum stava frá Energistyrelsen í Danmark.
Nærri upplýsingar um teir ávísu útlátsfaktorarnar, sum verða brúktir, síggjast á hvørjum einstakum rokniarki, undir 'Kelda Útlátsfaktorur'.</v>
      </c>
      <c r="E58" s="424"/>
      <c r="F58" s="424"/>
      <c r="G58" s="424"/>
      <c r="H58" s="424"/>
      <c r="I58" s="424"/>
      <c r="J58" s="424"/>
      <c r="K58" s="424"/>
      <c r="L58" s="424"/>
      <c r="M58" s="424"/>
      <c r="N58" s="424"/>
      <c r="O58" s="67"/>
      <c r="P58" s="67"/>
      <c r="Q58" s="67"/>
      <c r="R58" s="67"/>
      <c r="S58" s="67"/>
      <c r="T58" s="67"/>
      <c r="U58" s="67"/>
      <c r="V58" s="67"/>
      <c r="W58" s="67"/>
      <c r="X58" s="67"/>
      <c r="Y58" s="67"/>
      <c r="Z58" s="67"/>
    </row>
    <row r="59" spans="1:26">
      <c r="A59" s="71" t="s">
        <v>75</v>
      </c>
      <c r="B59" s="166"/>
      <c r="C59" s="173"/>
      <c r="D59" s="67"/>
      <c r="E59" s="67"/>
      <c r="F59" s="67"/>
      <c r="G59" s="67"/>
      <c r="H59" s="67"/>
      <c r="I59" s="67"/>
      <c r="J59" s="67"/>
      <c r="K59" s="67"/>
      <c r="L59" s="67"/>
      <c r="M59" s="67"/>
      <c r="N59" s="67"/>
      <c r="O59" s="67"/>
      <c r="P59" s="67"/>
      <c r="Q59" s="67"/>
      <c r="R59" s="67"/>
      <c r="S59" s="67"/>
      <c r="T59" s="67"/>
      <c r="U59" s="67"/>
      <c r="V59" s="67"/>
      <c r="W59" s="67"/>
      <c r="X59" s="67"/>
      <c r="Y59" s="67"/>
      <c r="Z59" s="67"/>
    </row>
    <row r="60" spans="1:26" ht="30" customHeight="1">
      <c r="A60" s="71" t="s">
        <v>76</v>
      </c>
      <c r="B60" s="166"/>
      <c r="C60" s="173"/>
      <c r="D60" s="423" t="str">
        <f>IF($E$14="English",_xlfn.XLOOKUP(A44,Descriptions!$A:$A,Descriptions!$B:$B),_xlfn.XLOOKUP(Introduction!A44,Descriptions!$A:$A,Descriptions!$C:$C))</f>
        <v>Íroknað vakstrarhúsgass</v>
      </c>
      <c r="E60" s="423"/>
      <c r="F60" s="423"/>
      <c r="G60" s="423"/>
      <c r="H60" s="423"/>
      <c r="I60" s="423"/>
      <c r="J60" s="423"/>
      <c r="K60" s="423"/>
      <c r="L60" s="423"/>
      <c r="M60" s="423"/>
      <c r="N60" s="423"/>
      <c r="O60" s="67"/>
      <c r="P60" s="67"/>
      <c r="Q60" s="67"/>
      <c r="R60" s="67"/>
      <c r="S60" s="67"/>
      <c r="T60" s="67"/>
      <c r="U60" s="67"/>
      <c r="V60" s="67"/>
      <c r="W60" s="67"/>
      <c r="X60" s="67"/>
      <c r="Y60" s="67"/>
      <c r="Z60" s="67"/>
    </row>
    <row r="61" spans="1:26" ht="228" customHeight="1">
      <c r="A61" s="71" t="s">
        <v>77</v>
      </c>
      <c r="B61" s="166"/>
      <c r="C61" s="173"/>
      <c r="D61" s="424" t="str">
        <f>IF($E$14="English",_xlfn.XLOOKUP(A45,Descriptions!$A:$A,Descriptions!$B:$B),_xlfn.XLOOKUP(Introduction!A45,Descriptions!$A:$A,Descriptions!$C:$C))</f>
        <v>Sambært Kyoto-protokollini eru sjey sløg av  vakstrarhúsgassi, ið elva til veðurlagsbroytingar. Hesi eru koltvísúrni (CO2), metan (CH4), láturgass (N2O), hydrofluorkolevni (HFC), perflourkolevni (PFC), svávulhexafluorid (SF6) og nitrogen trifluorid (NF3).
Ymiskt virksemi leiðir út ymisk gass. Boðast skal frá útlátinum frá tykkara virksemi av hvørjum av teimum gassunum, sum eru nevnd í Kyoto-protokollini.
CO2-roknarin brúkar útlátsfaktorar, sum fevna sum hesi gass:
• CO2 - Koltvísúrni
• CH4 - Metan
• N2O - Láturgass
Hesi verða umroknað til 'CO2e' útlát við upphitingarvirðum úr fimtu frágreiðingini hjá altjóða veðurlagsnevndini hjá ST, IPPC, um upphitingarvirði. Roknarin brúkar eisin útlátsfaktorar, sum bara brúka CO2e.
GG:
•  Kølievni víkja nakað frá øðrum útlátsfaktorum, tí gassini hava upphitingarárin í sjálvum sær.
•  GG! Ymiskir BEIS útlátsfaktorar, t.d. fyri flogferðslu, fevna um eisini um óbeinleiðis  (non-CO2 útlát t.d. vatnguva, frostslóð og NOx) árin á veðurlagið.
Meira kunning um AR5 fæst her: https://www.ipcc.ch/assessment-report/ar5/</v>
      </c>
      <c r="E61" s="424"/>
      <c r="F61" s="424"/>
      <c r="G61" s="424"/>
      <c r="H61" s="424"/>
      <c r="I61" s="424"/>
      <c r="J61" s="424"/>
      <c r="K61" s="424"/>
      <c r="L61" s="424"/>
      <c r="M61" s="424"/>
      <c r="N61" s="424"/>
      <c r="O61" s="67"/>
      <c r="P61" s="67"/>
      <c r="Q61" s="67"/>
      <c r="R61" s="67"/>
      <c r="S61" s="67"/>
      <c r="T61" s="67"/>
      <c r="U61" s="67"/>
      <c r="V61" s="67"/>
      <c r="W61" s="67"/>
      <c r="X61" s="67"/>
      <c r="Y61" s="67"/>
      <c r="Z61" s="67"/>
    </row>
    <row r="62" spans="1:26">
      <c r="A62" s="71" t="s">
        <v>78</v>
      </c>
      <c r="B62" s="166"/>
      <c r="C62" s="173"/>
      <c r="D62" s="67"/>
      <c r="E62" s="67"/>
      <c r="F62" s="67"/>
      <c r="G62" s="67"/>
      <c r="H62" s="67"/>
      <c r="I62" s="67"/>
      <c r="J62" s="67"/>
      <c r="K62" s="67"/>
      <c r="L62" s="67"/>
      <c r="M62" s="67"/>
      <c r="N62" s="67"/>
      <c r="O62" s="67"/>
      <c r="P62" s="67"/>
      <c r="Q62" s="67"/>
      <c r="R62" s="67"/>
      <c r="S62" s="67"/>
      <c r="T62" s="67"/>
      <c r="U62" s="67"/>
      <c r="V62" s="67"/>
      <c r="W62" s="67"/>
      <c r="X62" s="67"/>
      <c r="Y62" s="67"/>
      <c r="Z62" s="67"/>
    </row>
    <row r="63" spans="1:26" ht="30" customHeight="1">
      <c r="A63" s="71" t="s">
        <v>79</v>
      </c>
      <c r="B63" s="166"/>
      <c r="C63" s="173"/>
      <c r="D63" s="423" t="str">
        <f>IF($E$14="English",_xlfn.XLOOKUP(A46,Descriptions!$A:$A,Descriptions!$B:$B),_xlfn.XLOOKUP(Introduction!A46,Descriptions!$A:$A,Descriptions!$C:$C))</f>
        <v>Fyrivarni</v>
      </c>
      <c r="E63" s="423"/>
      <c r="F63" s="423"/>
      <c r="G63" s="423"/>
      <c r="H63" s="423"/>
      <c r="I63" s="423"/>
      <c r="J63" s="423"/>
      <c r="K63" s="423"/>
      <c r="L63" s="423"/>
      <c r="M63" s="423"/>
      <c r="N63" s="423"/>
      <c r="O63" s="67"/>
      <c r="P63" s="67"/>
      <c r="Q63" s="67"/>
      <c r="R63" s="67"/>
      <c r="S63" s="67"/>
      <c r="T63" s="67"/>
      <c r="U63" s="67"/>
      <c r="V63" s="67"/>
      <c r="W63" s="67"/>
      <c r="X63" s="67"/>
      <c r="Y63" s="67"/>
      <c r="Z63" s="67"/>
    </row>
    <row r="64" spans="1:26" ht="282.95" customHeight="1">
      <c r="A64" s="71" t="s">
        <v>80</v>
      </c>
      <c r="B64" s="166"/>
      <c r="C64" s="173"/>
      <c r="D64" s="424" t="str">
        <f>IF($E$14="English",_xlfn.XLOOKUP(A48,Descriptions!$A:$A,Descriptions!$B:$B),_xlfn.XLOOKUP(Introduction!A48,Descriptions!$A:$A,Descriptions!$C:$C))</f>
        <v>Hendan filan er einans til nýtslu hjá fyritøkuni, sum brúkar hana. Dátur verða ikki savnaðar av øðrum parti.
Umhvørvisstovan eigur øll rættindi til hesa fílu.
Hóast øll rímilig fyrilit eru tikin fyri at tryggja nøktandi neyvleika í innihaldinum, veitir Umhvørvisstovan onga trygd fyri neyvleikanum ella fullkomuleikanum av innihaldinum og ber onga skuld fyri einhvørjum skaða ella tapi, sum stavar frá nýtslu av ella áliti á hesa fílu ella upplýsingum, sum stava úr henni.
Henda fílan er einans til at fáa fram upplýsingar.
Upplýsing, sum er givin ella víst til í hesari fílu, kann á ongan hátt verða sædd sum ella føra til nýggj rættindi ella skyldur.
CO2-roknarin fevnir bert um hesi Vav/útlátsbólkar:
  Vav 1 - Brenning á føstum skipanum, brenning á flytførum skipanum og nýtsla av kølievni
  Vav 2 - Elnýtsla og fjarhiti
  Vav 3 - Rávøru-/liðugvøruflutningur, arbeiðsferðing, starvsfólkaferðing og virksemi tengt at brennievni og orku (síðstnevnda verður roknað sjálvvirkið).
CO2-roknarin fevnir sostatt ikki um allar útlátskeldur, ið eru viðkomandi fyri virðisketuna hjá fyritøkum, hetta serliga orsakað av ymiskleika av tølum og høgt torleikastigi í útrokningum. Fyritøkur, sum ynska at rokna hesar útlátskeldur, mugu sjálvar standa fyri útrokningini ella biða onnur gera tað fyri seg. 
CO2-roknarin kann nýtast sum stuðulsamboð til at fráboða útlát av vakstrarhúsgassi. 
GG! Umhvørvisstovan hevur ikki ábyrgd av tølunum, sum verða fráboðað, og tí verður mælt brúkarum til at seta seg væl inn í útlátsútrokningarnar og útlátsfaktorarnar, áðrenn fráboðað verður.</v>
      </c>
      <c r="E64" s="424"/>
      <c r="F64" s="424"/>
      <c r="G64" s="424"/>
      <c r="H64" s="424"/>
      <c r="I64" s="424"/>
      <c r="J64" s="424"/>
      <c r="K64" s="424"/>
      <c r="L64" s="424"/>
      <c r="M64" s="424"/>
      <c r="N64" s="424"/>
      <c r="O64" s="67"/>
      <c r="P64" s="67"/>
      <c r="Q64" s="67"/>
      <c r="R64" s="67"/>
      <c r="S64" s="67"/>
      <c r="T64" s="67"/>
      <c r="U64" s="67"/>
      <c r="V64" s="67"/>
      <c r="W64" s="67"/>
      <c r="X64" s="67"/>
      <c r="Y64" s="67"/>
      <c r="Z64" s="67"/>
    </row>
    <row r="65" spans="2:26">
      <c r="B65" s="166"/>
      <c r="C65" s="173"/>
      <c r="D65" s="67"/>
      <c r="E65" s="67"/>
      <c r="F65" s="67"/>
      <c r="G65" s="67"/>
      <c r="H65" s="67"/>
      <c r="I65" s="67"/>
      <c r="J65" s="67"/>
      <c r="K65" s="67"/>
      <c r="L65" s="67"/>
      <c r="M65" s="67"/>
      <c r="N65" s="67"/>
      <c r="O65" s="67"/>
      <c r="P65" s="67"/>
      <c r="Q65" s="67"/>
      <c r="R65" s="67"/>
      <c r="S65" s="67"/>
      <c r="T65" s="67"/>
      <c r="U65" s="67"/>
      <c r="V65" s="67"/>
      <c r="W65" s="67"/>
      <c r="X65" s="67"/>
      <c r="Y65" s="67"/>
      <c r="Z65" s="67"/>
    </row>
    <row r="66" spans="2:26">
      <c r="B66" s="166"/>
      <c r="C66" s="173"/>
      <c r="D66" s="67"/>
      <c r="E66" s="67"/>
      <c r="F66" s="67"/>
      <c r="G66" s="67"/>
      <c r="H66" s="67"/>
      <c r="I66" s="67"/>
      <c r="J66" s="67"/>
      <c r="K66" s="67"/>
      <c r="L66" s="67"/>
      <c r="M66" s="67"/>
      <c r="N66" s="67"/>
      <c r="O66" s="67"/>
      <c r="P66" s="67"/>
      <c r="Q66" s="67"/>
      <c r="R66" s="67"/>
      <c r="S66" s="67"/>
      <c r="T66" s="67"/>
      <c r="U66" s="67"/>
      <c r="V66" s="67"/>
      <c r="W66" s="67"/>
      <c r="X66" s="67"/>
      <c r="Y66" s="67"/>
      <c r="Z66" s="67"/>
    </row>
    <row r="67" spans="2:26">
      <c r="B67" s="166"/>
      <c r="C67" s="173"/>
      <c r="D67" s="67"/>
      <c r="E67" s="67"/>
      <c r="F67" s="67"/>
      <c r="G67" s="67"/>
      <c r="H67" s="67"/>
      <c r="I67" s="67"/>
      <c r="J67" s="67"/>
      <c r="K67" s="67"/>
      <c r="L67" s="67"/>
      <c r="M67" s="67"/>
      <c r="N67" s="67"/>
      <c r="O67" s="67"/>
      <c r="P67" s="67"/>
      <c r="Q67" s="67"/>
      <c r="R67" s="67"/>
      <c r="S67" s="67"/>
      <c r="T67" s="67"/>
      <c r="U67" s="67"/>
      <c r="V67" s="67"/>
      <c r="W67" s="67"/>
      <c r="X67" s="67"/>
      <c r="Y67" s="67"/>
      <c r="Z67" s="67"/>
    </row>
    <row r="68" spans="2:26" hidden="1">
      <c r="B68" s="166"/>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2:26" hidden="1">
      <c r="B69" s="166"/>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2:26" hidden="1">
      <c r="B70" s="166"/>
      <c r="C70" s="67"/>
      <c r="D70" s="67"/>
      <c r="E70" s="67"/>
      <c r="F70" s="67"/>
      <c r="G70" s="67"/>
      <c r="H70" s="67"/>
      <c r="I70" s="67"/>
      <c r="J70" s="67"/>
      <c r="K70" s="67"/>
      <c r="L70" s="67"/>
      <c r="M70" s="67"/>
      <c r="N70" s="67"/>
      <c r="O70" s="67"/>
      <c r="P70" s="67"/>
      <c r="Q70" s="67"/>
      <c r="R70" s="67"/>
      <c r="S70" s="67"/>
      <c r="T70" s="67"/>
      <c r="U70" s="67"/>
      <c r="V70" s="67"/>
      <c r="W70" s="67"/>
      <c r="X70" s="67"/>
      <c r="Y70" s="67"/>
      <c r="Z70" s="67"/>
    </row>
  </sheetData>
  <sheetProtection algorithmName="SHA-512" hashValue="vbMDFDZ6gQ/yjEoyb8ynGGB7YXNF62mX7g5b44+vL9yDXBgn4pGubBHWHQF5MGXKzCu8gE5kXyWSsef3FA8U1Q==" saltValue="YO9SlTvhORTPoXtQEpx54Q==" spinCount="100000" sheet="1" objects="1" scenarios="1"/>
  <mergeCells count="63">
    <mergeCell ref="F50:K50"/>
    <mergeCell ref="L50:N50"/>
    <mergeCell ref="D60:N60"/>
    <mergeCell ref="D57:N57"/>
    <mergeCell ref="D58:N58"/>
    <mergeCell ref="D55:N55"/>
    <mergeCell ref="F30:K30"/>
    <mergeCell ref="F31:K31"/>
    <mergeCell ref="F36:K36"/>
    <mergeCell ref="F40:K40"/>
    <mergeCell ref="D31:D33"/>
    <mergeCell ref="D34:D35"/>
    <mergeCell ref="F32:K32"/>
    <mergeCell ref="F33:K33"/>
    <mergeCell ref="F34:K34"/>
    <mergeCell ref="D17:N17"/>
    <mergeCell ref="L20:N20"/>
    <mergeCell ref="L21:N21"/>
    <mergeCell ref="L32:N32"/>
    <mergeCell ref="D61:N61"/>
    <mergeCell ref="F38:K38"/>
    <mergeCell ref="F35:K35"/>
    <mergeCell ref="D25:N25"/>
    <mergeCell ref="L19:N19"/>
    <mergeCell ref="L18:N18"/>
    <mergeCell ref="D18:K21"/>
    <mergeCell ref="L30:N30"/>
    <mergeCell ref="D29:N29"/>
    <mergeCell ref="L36:N36"/>
    <mergeCell ref="L41:N41"/>
    <mergeCell ref="L48:N48"/>
    <mergeCell ref="D63:N63"/>
    <mergeCell ref="D64:N64"/>
    <mergeCell ref="L31:N31"/>
    <mergeCell ref="L38:N38"/>
    <mergeCell ref="L39:N39"/>
    <mergeCell ref="L37:N37"/>
    <mergeCell ref="F41:K41"/>
    <mergeCell ref="L33:N33"/>
    <mergeCell ref="L34:N34"/>
    <mergeCell ref="L35:N35"/>
    <mergeCell ref="D54:N54"/>
    <mergeCell ref="L40:N40"/>
    <mergeCell ref="F49:K49"/>
    <mergeCell ref="L49:N49"/>
    <mergeCell ref="F39:K39"/>
    <mergeCell ref="F37:K37"/>
    <mergeCell ref="D4:Q11"/>
    <mergeCell ref="D12:Q12"/>
    <mergeCell ref="D36:D50"/>
    <mergeCell ref="F42:K42"/>
    <mergeCell ref="L42:N42"/>
    <mergeCell ref="F43:K43"/>
    <mergeCell ref="L43:N43"/>
    <mergeCell ref="F44:K44"/>
    <mergeCell ref="L44:N44"/>
    <mergeCell ref="F45:K45"/>
    <mergeCell ref="L45:N45"/>
    <mergeCell ref="F46:K46"/>
    <mergeCell ref="L46:N46"/>
    <mergeCell ref="F47:K47"/>
    <mergeCell ref="L47:N47"/>
    <mergeCell ref="F48:K48"/>
  </mergeCells>
  <hyperlinks>
    <hyperlink ref="L19" r:id="rId1" xr:uid="{555EC31C-87F7-43F6-984F-5E0FB14342BD}"/>
    <hyperlink ref="L34" r:id="rId2" display="GHG Protocol Scope 2 Guidance" xr:uid="{28DC8260-C1A3-49F9-BBE5-864035DA25EA}"/>
    <hyperlink ref="L35" r:id="rId3" display="GHG Protocol Scope 2 Guidance" xr:uid="{99755022-434D-4E7C-82B4-28A3BCE09820}"/>
    <hyperlink ref="L36:N36" r:id="rId4" display="Technical Guidance for Calculating Scope 3 emissions (page X)" xr:uid="{D2FA6666-40AD-40AE-B99B-38ACF66A031C}"/>
    <hyperlink ref="L41:N41" r:id="rId5" display="Technical Guidance for Calculating Scope 3 emissions (page X)" xr:uid="{11776690-9033-4F66-894E-A4CCAFFC53D8}"/>
    <hyperlink ref="L40:N40" r:id="rId6" display="Technical Guidance for Calculating Scope 3 emissions (page X)" xr:uid="{D06AEA04-D8C6-4258-B8C4-87EBAACFA4DE}"/>
    <hyperlink ref="L38:N38" r:id="rId7" display="Technical Guidance for Calculating Scope 3 emissions (page X)" xr:uid="{BF5B2BB5-BBB7-4802-9335-52B1FA7460BD}"/>
    <hyperlink ref="L39:N39" r:id="rId8" display="Technical Guidance for Calculating Scope 3 emissions (page X)" xr:uid="{382AE3B3-4331-4032-B102-9CEE755CF42F}"/>
    <hyperlink ref="L37:N37" r:id="rId9" display="Technical Guidance for Calculating Scope 3 emissions (page X)" xr:uid="{3C070C59-DE68-4C20-A52C-29BF9834F30B}"/>
    <hyperlink ref="L20" r:id="rId10" xr:uid="{F795BAF0-43C9-4A5B-BAC1-7D62C8620ADB}"/>
    <hyperlink ref="L21:N21" r:id="rId11" display="Technical Guidance for Calculating Scope 3 emissions (page X)" xr:uid="{B400F0A6-A509-4148-AFD9-CF1B576B63A2}"/>
    <hyperlink ref="L42:N42" r:id="rId12" display="Technical Guidance for Calculating Scope 3 emissions (page X)" xr:uid="{589BCAD3-C1C1-40E3-A7DD-F61A34E9C5A6}"/>
    <hyperlink ref="L43:N43" r:id="rId13" display="Technical Guidance for Calculating Scope 3 emissions (page X)" xr:uid="{00EA8F08-99B8-4964-8D7B-DBA16548E9BA}"/>
    <hyperlink ref="L44:N44" r:id="rId14" display="Technical Guidance for Calculating Scope 3 emissions (page X)" xr:uid="{76C83407-EA81-40AC-8865-F421197C599D}"/>
    <hyperlink ref="L45:N45" r:id="rId15" display="Technical Guidance for Calculating Scope 3 emissions (page X)" xr:uid="{7094FC11-AA0C-4381-92AD-735E6EE779BE}"/>
    <hyperlink ref="L46:N46" r:id="rId16" display="Technical Guidance for Calculating Scope 3 emissions (page X)" xr:uid="{C21C3EF7-8E0E-43E2-91BE-3DF056A5A65F}"/>
    <hyperlink ref="L47:N47" r:id="rId17" display="Technical Guidance for Calculating Scope 3 emissions (page X)" xr:uid="{4B2565AF-CE41-4363-925D-E71AA6FA5C7E}"/>
    <hyperlink ref="L48:N48" r:id="rId18" display="Technical Guidance for Calculating Scope 3 emissions (page X)" xr:uid="{CE73576B-C02C-4C92-A7FF-C6CA84D7C817}"/>
    <hyperlink ref="L49:N49" r:id="rId19" display="Technical Guidance for Calculating Scope 3 emissions (page X)" xr:uid="{524E5B21-58D7-4694-A861-478D382EE11D}"/>
    <hyperlink ref="L50:N50" r:id="rId20" display="Technical Guidance for Calculating Scope 3 emissions (page X)" xr:uid="{1FC1902A-2173-406D-BA8D-E534B19A55A3}"/>
  </hyperlinks>
  <pageMargins left="0.7" right="0.7" top="0.75" bottom="0.75" header="0.3" footer="0.3"/>
  <pageSetup orientation="portrait" r:id="rId21"/>
  <drawing r:id="rId2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3A3FD9C-90FB-47E6-98C6-FD9A92F5FE67}">
          <x14:formula1>
            <xm:f>Dropdown!$A$3:$A$4</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0346-53CD-4FF6-BF01-3E13F6F80104}">
  <sheetPr codeName="Sheet5">
    <tabColor theme="2"/>
  </sheetPr>
  <dimension ref="A1:AA71"/>
  <sheetViews>
    <sheetView showGridLines="0" showRowColHeaders="0" topLeftCell="B2" zoomScale="75" zoomScaleNormal="75" workbookViewId="0">
      <selection activeCell="J16" sqref="J16"/>
    </sheetView>
  </sheetViews>
  <sheetFormatPr defaultColWidth="0" defaultRowHeight="14.25" zeroHeight="1"/>
  <cols>
    <col min="1" max="1" width="47.7109375" style="71" hidden="1" customWidth="1"/>
    <col min="2" max="2" width="3.7109375" style="71" customWidth="1"/>
    <col min="3" max="3" width="4.7109375" style="71" customWidth="1"/>
    <col min="4" max="4" width="61.140625" style="263" customWidth="1"/>
    <col min="5" max="5" width="151.7109375" style="71" customWidth="1"/>
    <col min="6" max="11" width="19.7109375" style="71" customWidth="1"/>
    <col min="12" max="27" width="14" style="71" customWidth="1"/>
    <col min="28" max="16384" width="14" style="71" hidden="1"/>
  </cols>
  <sheetData>
    <row r="1" spans="1:27" ht="20.25" hidden="1">
      <c r="A1" s="254"/>
      <c r="D1" s="255"/>
      <c r="E1" s="166"/>
      <c r="F1" s="166"/>
      <c r="G1" s="166"/>
      <c r="H1" s="166"/>
      <c r="I1" s="166"/>
      <c r="J1" s="166"/>
      <c r="K1" s="166"/>
      <c r="L1" s="166"/>
      <c r="M1" s="166"/>
      <c r="N1" s="166"/>
      <c r="O1" s="166"/>
      <c r="P1" s="166"/>
      <c r="Q1" s="166"/>
      <c r="R1" s="166"/>
      <c r="S1" s="166"/>
      <c r="T1" s="166"/>
      <c r="U1" s="166"/>
      <c r="V1" s="166"/>
      <c r="W1" s="166"/>
      <c r="X1" s="166"/>
      <c r="Y1" s="166"/>
      <c r="Z1" s="166"/>
      <c r="AA1" s="166"/>
    </row>
    <row r="2" spans="1:27">
      <c r="A2" s="168" t="str">
        <f>Introduction!$E$14</f>
        <v>Føroyskt</v>
      </c>
      <c r="B2" s="167"/>
      <c r="C2" s="166"/>
      <c r="D2" s="255"/>
      <c r="E2" s="166"/>
      <c r="F2" s="166"/>
      <c r="G2" s="166"/>
      <c r="H2" s="166"/>
      <c r="I2" s="166"/>
      <c r="J2" s="166"/>
      <c r="K2" s="166"/>
      <c r="L2" s="166"/>
      <c r="M2" s="166"/>
      <c r="N2" s="166"/>
      <c r="O2" s="166"/>
      <c r="P2" s="166"/>
      <c r="Q2" s="166"/>
      <c r="R2" s="166"/>
      <c r="S2" s="166"/>
      <c r="T2" s="166"/>
      <c r="U2" s="166"/>
      <c r="V2" s="166"/>
      <c r="W2" s="166"/>
      <c r="X2" s="166"/>
      <c r="Y2" s="166"/>
      <c r="Z2" s="166"/>
      <c r="AA2" s="166"/>
    </row>
    <row r="3" spans="1:27">
      <c r="A3" s="168" t="s">
        <v>0</v>
      </c>
      <c r="B3" s="166"/>
      <c r="C3" s="169"/>
      <c r="D3" s="256"/>
      <c r="E3" s="170"/>
      <c r="F3" s="170"/>
      <c r="G3" s="170"/>
      <c r="H3" s="170"/>
      <c r="I3" s="170"/>
      <c r="J3" s="170"/>
      <c r="K3" s="170"/>
      <c r="L3" s="170"/>
      <c r="M3" s="170"/>
      <c r="N3" s="170"/>
      <c r="O3" s="170"/>
      <c r="P3" s="170"/>
      <c r="Q3" s="170"/>
      <c r="R3" s="170"/>
      <c r="S3" s="170"/>
      <c r="T3" s="170"/>
      <c r="U3" s="67"/>
      <c r="V3" s="67"/>
      <c r="W3" s="67"/>
      <c r="X3" s="67"/>
      <c r="Y3" s="67"/>
      <c r="Z3" s="67"/>
      <c r="AA3" s="67"/>
    </row>
    <row r="4" spans="1:27" ht="5.0999999999999996" customHeight="1">
      <c r="A4" s="71" t="s">
        <v>1</v>
      </c>
      <c r="B4" s="172"/>
      <c r="C4" s="173"/>
      <c r="D4" s="418" t="str">
        <f>IF($A$2="English",_xlfn.XLOOKUP(A3,Descriptions!$A:$A,Descriptions!$B:$B),_xlfn.XLOOKUP(A3,Descriptions!$A:$A,Descriptions!$C:$C))</f>
        <v>Føroyskur CO2-roknari. Ár: 2023</v>
      </c>
      <c r="E4" s="418"/>
      <c r="F4" s="418"/>
      <c r="G4" s="418"/>
      <c r="H4" s="418"/>
      <c r="I4" s="418"/>
      <c r="J4" s="418"/>
      <c r="K4" s="418"/>
      <c r="L4" s="418"/>
      <c r="M4" s="418"/>
      <c r="N4" s="418"/>
      <c r="O4" s="418"/>
      <c r="P4" s="418"/>
      <c r="Q4" s="418"/>
      <c r="R4" s="67"/>
      <c r="S4" s="67"/>
      <c r="T4" s="67"/>
      <c r="U4" s="67"/>
      <c r="V4" s="67"/>
      <c r="W4" s="67"/>
      <c r="X4" s="67"/>
      <c r="Y4" s="67"/>
      <c r="Z4" s="67"/>
      <c r="AA4" s="67"/>
    </row>
    <row r="5" spans="1:27" ht="5.0999999999999996" customHeight="1">
      <c r="A5" s="71" t="s">
        <v>81</v>
      </c>
      <c r="B5" s="166"/>
      <c r="C5" s="173"/>
      <c r="D5" s="418"/>
      <c r="E5" s="418"/>
      <c r="F5" s="418"/>
      <c r="G5" s="418"/>
      <c r="H5" s="418"/>
      <c r="I5" s="418"/>
      <c r="J5" s="418"/>
      <c r="K5" s="418"/>
      <c r="L5" s="418"/>
      <c r="M5" s="418"/>
      <c r="N5" s="418"/>
      <c r="O5" s="418"/>
      <c r="P5" s="418"/>
      <c r="Q5" s="418"/>
      <c r="R5" s="67"/>
      <c r="S5" s="67"/>
      <c r="T5" s="67"/>
      <c r="U5" s="67"/>
      <c r="V5" s="67"/>
      <c r="W5" s="67"/>
      <c r="X5" s="67"/>
      <c r="Y5" s="67"/>
      <c r="Z5" s="67"/>
      <c r="AA5" s="67"/>
    </row>
    <row r="6" spans="1:27" ht="5.0999999999999996" customHeight="1">
      <c r="A6" s="71" t="s">
        <v>82</v>
      </c>
      <c r="B6" s="166"/>
      <c r="C6" s="173"/>
      <c r="D6" s="418"/>
      <c r="E6" s="418"/>
      <c r="F6" s="418"/>
      <c r="G6" s="418"/>
      <c r="H6" s="418"/>
      <c r="I6" s="418"/>
      <c r="J6" s="418"/>
      <c r="K6" s="418"/>
      <c r="L6" s="418"/>
      <c r="M6" s="418"/>
      <c r="N6" s="418"/>
      <c r="O6" s="418"/>
      <c r="P6" s="418"/>
      <c r="Q6" s="418"/>
      <c r="R6" s="67"/>
      <c r="S6" s="67"/>
      <c r="T6" s="67"/>
      <c r="U6" s="67"/>
      <c r="V6" s="67"/>
      <c r="W6" s="67"/>
      <c r="X6" s="67"/>
      <c r="Y6" s="67"/>
      <c r="Z6" s="67"/>
      <c r="AA6" s="67"/>
    </row>
    <row r="7" spans="1:27" ht="5.0999999999999996" customHeight="1">
      <c r="A7" s="71" t="s">
        <v>83</v>
      </c>
      <c r="B7" s="166"/>
      <c r="C7" s="173"/>
      <c r="D7" s="418"/>
      <c r="E7" s="418"/>
      <c r="F7" s="418"/>
      <c r="G7" s="418"/>
      <c r="H7" s="418"/>
      <c r="I7" s="418"/>
      <c r="J7" s="418"/>
      <c r="K7" s="418"/>
      <c r="L7" s="418"/>
      <c r="M7" s="418"/>
      <c r="N7" s="418"/>
      <c r="O7" s="418"/>
      <c r="P7" s="418"/>
      <c r="Q7" s="418"/>
      <c r="R7" s="67"/>
      <c r="S7" s="67"/>
      <c r="T7" s="67"/>
      <c r="U7" s="67"/>
      <c r="V7" s="67"/>
      <c r="W7" s="67"/>
      <c r="X7" s="67"/>
      <c r="Y7" s="67"/>
      <c r="Z7" s="67"/>
      <c r="AA7" s="67"/>
    </row>
    <row r="8" spans="1:27" ht="5.0999999999999996" customHeight="1">
      <c r="A8" s="71" t="s">
        <v>84</v>
      </c>
      <c r="B8" s="166"/>
      <c r="C8" s="173"/>
      <c r="D8" s="418"/>
      <c r="E8" s="418"/>
      <c r="F8" s="418"/>
      <c r="G8" s="418"/>
      <c r="H8" s="418"/>
      <c r="I8" s="418"/>
      <c r="J8" s="418"/>
      <c r="K8" s="418"/>
      <c r="L8" s="418"/>
      <c r="M8" s="418"/>
      <c r="N8" s="418"/>
      <c r="O8" s="418"/>
      <c r="P8" s="418"/>
      <c r="Q8" s="418"/>
      <c r="R8" s="67"/>
      <c r="S8" s="67"/>
      <c r="T8" s="67"/>
      <c r="U8" s="67"/>
      <c r="V8" s="67"/>
      <c r="W8" s="67"/>
      <c r="X8" s="67"/>
      <c r="Y8" s="67"/>
      <c r="Z8" s="67"/>
      <c r="AA8" s="67"/>
    </row>
    <row r="9" spans="1:27" ht="5.0999999999999996" customHeight="1">
      <c r="A9" s="71" t="s">
        <v>85</v>
      </c>
      <c r="B9" s="166"/>
      <c r="C9" s="173"/>
      <c r="D9" s="418"/>
      <c r="E9" s="418"/>
      <c r="F9" s="418"/>
      <c r="G9" s="418"/>
      <c r="H9" s="418"/>
      <c r="I9" s="418"/>
      <c r="J9" s="418"/>
      <c r="K9" s="418"/>
      <c r="L9" s="418"/>
      <c r="M9" s="418"/>
      <c r="N9" s="418"/>
      <c r="O9" s="418"/>
      <c r="P9" s="418"/>
      <c r="Q9" s="418"/>
      <c r="R9" s="67"/>
      <c r="S9" s="67"/>
      <c r="T9" s="67"/>
      <c r="U9" s="67"/>
      <c r="V9" s="67"/>
      <c r="W9" s="67"/>
      <c r="X9" s="67"/>
      <c r="Y9" s="67"/>
      <c r="Z9" s="67"/>
      <c r="AA9" s="67"/>
    </row>
    <row r="10" spans="1:27" ht="5.0999999999999996" customHeight="1">
      <c r="B10" s="166"/>
      <c r="C10" s="173"/>
      <c r="D10" s="418"/>
      <c r="E10" s="418"/>
      <c r="F10" s="418"/>
      <c r="G10" s="418"/>
      <c r="H10" s="418"/>
      <c r="I10" s="418"/>
      <c r="J10" s="418"/>
      <c r="K10" s="418"/>
      <c r="L10" s="418"/>
      <c r="M10" s="418"/>
      <c r="N10" s="418"/>
      <c r="O10" s="418"/>
      <c r="P10" s="418"/>
      <c r="Q10" s="418"/>
      <c r="R10" s="67"/>
      <c r="S10" s="67"/>
      <c r="T10" s="67"/>
      <c r="U10" s="67"/>
      <c r="V10" s="67"/>
      <c r="W10" s="67"/>
      <c r="X10" s="67"/>
      <c r="Y10" s="67"/>
      <c r="Z10" s="67"/>
      <c r="AA10" s="67"/>
    </row>
    <row r="11" spans="1:27" ht="5.0999999999999996" customHeight="1">
      <c r="A11" s="71" t="s">
        <v>86</v>
      </c>
      <c r="B11" s="166"/>
      <c r="C11" s="173"/>
      <c r="D11" s="418"/>
      <c r="E11" s="418"/>
      <c r="F11" s="418"/>
      <c r="G11" s="418"/>
      <c r="H11" s="418"/>
      <c r="I11" s="418"/>
      <c r="J11" s="418"/>
      <c r="K11" s="418"/>
      <c r="L11" s="418"/>
      <c r="M11" s="418"/>
      <c r="N11" s="418"/>
      <c r="O11" s="418"/>
      <c r="P11" s="418"/>
      <c r="Q11" s="418"/>
      <c r="R11" s="67"/>
      <c r="S11" s="67"/>
      <c r="T11" s="67"/>
      <c r="U11" s="67"/>
      <c r="V11" s="67"/>
      <c r="W11" s="67"/>
      <c r="X11" s="67"/>
      <c r="Y11" s="67"/>
      <c r="Z11" s="67"/>
      <c r="AA11" s="67"/>
    </row>
    <row r="12" spans="1:27" ht="99.95" customHeight="1">
      <c r="A12" s="71" t="s">
        <v>87</v>
      </c>
      <c r="B12" s="166"/>
      <c r="C12" s="173"/>
      <c r="D12" s="419" t="str">
        <f>IF($A$2="English",_xlfn.XLOOKUP(A5,Descriptions!$A:$A,Descriptions!$B:$B),_xlfn.XLOOKUP(A5,Descriptions!$A:$A,Descriptions!$C:$C))</f>
        <v>Innihald</v>
      </c>
      <c r="E12" s="419"/>
      <c r="F12" s="419"/>
      <c r="G12" s="419"/>
      <c r="H12" s="419"/>
      <c r="I12" s="419"/>
      <c r="J12" s="419"/>
      <c r="K12" s="419"/>
      <c r="L12" s="419"/>
      <c r="M12" s="75"/>
      <c r="N12" s="75"/>
      <c r="O12" s="76"/>
      <c r="P12" s="76"/>
      <c r="Q12" s="76"/>
      <c r="R12" s="67"/>
      <c r="S12" s="67"/>
      <c r="T12" s="67"/>
      <c r="U12" s="67"/>
      <c r="V12" s="67"/>
      <c r="W12" s="67"/>
      <c r="X12" s="67"/>
      <c r="Y12" s="67"/>
      <c r="Z12" s="67"/>
      <c r="AA12" s="67"/>
    </row>
    <row r="13" spans="1:27">
      <c r="A13" s="71" t="s">
        <v>88</v>
      </c>
      <c r="B13" s="166"/>
      <c r="C13" s="173"/>
      <c r="D13" s="77"/>
      <c r="E13" s="67"/>
      <c r="F13" s="67"/>
      <c r="G13" s="67"/>
      <c r="H13" s="67"/>
      <c r="I13" s="67"/>
      <c r="J13" s="67"/>
      <c r="K13" s="67"/>
      <c r="L13" s="67"/>
      <c r="M13" s="67"/>
      <c r="N13" s="67"/>
      <c r="O13" s="67"/>
      <c r="P13" s="67"/>
      <c r="Q13" s="67"/>
      <c r="R13" s="67"/>
      <c r="S13" s="67"/>
      <c r="T13" s="67"/>
      <c r="U13" s="67"/>
      <c r="V13" s="67"/>
      <c r="W13" s="67"/>
      <c r="X13" s="67"/>
      <c r="Y13" s="67"/>
      <c r="Z13" s="67"/>
      <c r="AA13" s="67"/>
    </row>
    <row r="14" spans="1:27" ht="30" customHeight="1">
      <c r="A14" s="71" t="s">
        <v>89</v>
      </c>
      <c r="B14" s="166"/>
      <c r="C14" s="173"/>
      <c r="D14" s="349" t="str">
        <f>IF($A$2="English",_xlfn.XLOOKUP(A6,Descriptions!$A:$A,Descriptions!$B:$B),_xlfn.XLOOKUP(A6,Descriptions!$A:$A,Descriptions!$C:$C))</f>
        <v>Ørk</v>
      </c>
      <c r="E14" s="349" t="str">
        <f>IF($A$2="English",_xlfn.XLOOKUP(A7,Descriptions!$A:$A,Descriptions!$B:$B),_xlfn.XLOOKUP(A7,Descriptions!$A:$A,Descriptions!$C:$C))</f>
        <v>Lýsing</v>
      </c>
      <c r="F14" s="67"/>
      <c r="G14" s="67"/>
      <c r="H14" s="67"/>
      <c r="I14" s="67"/>
      <c r="J14" s="67"/>
      <c r="K14" s="67"/>
      <c r="L14" s="67"/>
      <c r="M14" s="67"/>
      <c r="N14" s="67"/>
      <c r="O14" s="67"/>
      <c r="P14" s="67"/>
      <c r="Q14" s="67"/>
      <c r="R14" s="67"/>
      <c r="S14" s="67"/>
      <c r="T14" s="67"/>
      <c r="U14" s="67"/>
      <c r="V14" s="67"/>
      <c r="W14" s="67"/>
      <c r="X14" s="67"/>
      <c r="Y14" s="67"/>
      <c r="Z14" s="67"/>
      <c r="AA14" s="67"/>
    </row>
    <row r="15" spans="1:27" ht="54" customHeight="1">
      <c r="A15" s="71" t="s">
        <v>90</v>
      </c>
      <c r="B15" s="166"/>
      <c r="C15" s="173"/>
      <c r="D15" s="319" t="s">
        <v>1</v>
      </c>
      <c r="E15" s="320" t="str">
        <f>IF($A$2="English",_xlfn.XLOOKUP(A8,Descriptions!$A:$A,Descriptions!$B:$B),_xlfn.XLOOKUP(A8,Descriptions!$A:$A,Descriptions!$C:$C))</f>
        <v>Inngangur til CO2-roknara, sæð í størri høpi og vegleiðing um vavini í  'GHG Protocollini', nýtsluvegleiðing, útlátsfaktorar og hvørji vakstrarhúsgass eru umfatað av roknaranum.</v>
      </c>
      <c r="F15" s="67"/>
      <c r="G15" s="67"/>
      <c r="H15" s="67"/>
      <c r="I15" s="67"/>
      <c r="J15" s="67"/>
      <c r="K15" s="67"/>
      <c r="L15" s="67"/>
      <c r="M15" s="67"/>
      <c r="N15" s="67"/>
      <c r="O15" s="67"/>
      <c r="P15" s="67"/>
      <c r="Q15" s="67"/>
      <c r="R15" s="67"/>
      <c r="S15" s="67"/>
      <c r="T15" s="67"/>
      <c r="U15" s="67"/>
      <c r="V15" s="67"/>
      <c r="W15" s="67"/>
      <c r="X15" s="67"/>
      <c r="Y15" s="67"/>
      <c r="Z15" s="67"/>
      <c r="AA15" s="67"/>
    </row>
    <row r="16" spans="1:27" ht="54" customHeight="1">
      <c r="A16" s="71" t="s">
        <v>91</v>
      </c>
      <c r="B16" s="172"/>
      <c r="C16" s="173"/>
      <c r="D16" s="319" t="s">
        <v>81</v>
      </c>
      <c r="E16" s="321" t="str">
        <f>IF($A$2="English",_xlfn.XLOOKUP(A9,Descriptions!$A:$A,Descriptions!$B:$B),_xlfn.XLOOKUP(A9,Descriptions!$A:$A,Descriptions!$C:$C))</f>
        <v>Innihaldsyvirlit</v>
      </c>
      <c r="F16" s="67"/>
      <c r="G16" s="67"/>
      <c r="H16" s="67"/>
      <c r="I16" s="67"/>
      <c r="J16" s="67"/>
      <c r="K16" s="67"/>
      <c r="L16" s="67"/>
      <c r="M16" s="67"/>
      <c r="N16" s="67"/>
      <c r="O16" s="67"/>
      <c r="P16" s="67"/>
      <c r="Q16" s="67"/>
      <c r="R16" s="67"/>
      <c r="S16" s="67"/>
      <c r="T16" s="67"/>
      <c r="U16" s="67"/>
      <c r="V16" s="67"/>
      <c r="W16" s="67"/>
      <c r="X16" s="67"/>
      <c r="Y16" s="67"/>
      <c r="Z16" s="67"/>
      <c r="AA16" s="67"/>
    </row>
    <row r="17" spans="1:27" ht="54" customHeight="1">
      <c r="A17" s="71" t="s">
        <v>92</v>
      </c>
      <c r="B17" s="172"/>
      <c r="C17" s="173"/>
      <c r="D17" s="318" t="s">
        <v>93</v>
      </c>
      <c r="E17" s="320" t="str">
        <f>IF($A$2="English",_xlfn.XLOOKUP(A11,Descriptions!$A:$A,Descriptions!$B:$B),_xlfn.XLOOKUP(A11,Descriptions!$A:$A,Descriptions!$C:$C))</f>
        <v>Á hesum arki skal brúkarin inntøppa upplýsingar um fyritøkuna, brúkaranavn og høli/staðsetingar hjá fyritøkuni.</v>
      </c>
      <c r="F17" s="67"/>
      <c r="G17" s="67"/>
      <c r="H17" s="67"/>
      <c r="I17" s="67"/>
      <c r="J17" s="67"/>
      <c r="K17" s="67"/>
      <c r="L17" s="67"/>
      <c r="M17" s="67"/>
      <c r="N17" s="67"/>
      <c r="O17" s="67"/>
      <c r="P17" s="67"/>
      <c r="Q17" s="67"/>
      <c r="R17" s="67"/>
      <c r="S17" s="67"/>
      <c r="T17" s="67"/>
      <c r="U17" s="67"/>
      <c r="V17" s="67"/>
      <c r="W17" s="67"/>
      <c r="X17" s="67"/>
      <c r="Y17" s="67"/>
      <c r="Z17" s="67"/>
      <c r="AA17" s="67"/>
    </row>
    <row r="18" spans="1:27" ht="54" customHeight="1">
      <c r="A18" s="168" t="s">
        <v>94</v>
      </c>
      <c r="B18" s="172"/>
      <c r="C18" s="173"/>
      <c r="D18" s="318" t="s">
        <v>95</v>
      </c>
      <c r="E18" s="320" t="str">
        <f>IF($A$2="English",_xlfn.XLOOKUP(A12,Descriptions!$A:$A,Descriptions!$B:$B),_xlfn.XLOOKUP(A12,Descriptions!$A:$A,Descriptions!$C:$C))</f>
        <v>Útlát (tCO2e) býtt á vav/virksemi</v>
      </c>
      <c r="F18" s="67"/>
      <c r="G18" s="67"/>
      <c r="H18" s="67"/>
      <c r="I18" s="67"/>
      <c r="J18" s="67"/>
      <c r="K18" s="67"/>
      <c r="L18" s="67"/>
      <c r="M18" s="67"/>
      <c r="N18" s="67"/>
      <c r="O18" s="67"/>
      <c r="P18" s="67"/>
      <c r="Q18" s="67"/>
      <c r="R18" s="67"/>
      <c r="S18" s="67"/>
      <c r="T18" s="67"/>
      <c r="U18" s="67"/>
      <c r="V18" s="67"/>
      <c r="W18" s="67"/>
      <c r="X18" s="67"/>
      <c r="Y18" s="67"/>
      <c r="Z18" s="67"/>
      <c r="AA18" s="67"/>
    </row>
    <row r="19" spans="1:27" ht="54" customHeight="1">
      <c r="A19" s="168" t="s">
        <v>96</v>
      </c>
      <c r="B19" s="172"/>
      <c r="C19" s="173"/>
      <c r="D19" s="294" t="s">
        <v>97</v>
      </c>
      <c r="E19" s="320" t="str">
        <f>IF($A$2="English",_xlfn.XLOOKUP(A13,Descriptions!$A:$A,Descriptions!$B:$B),_xlfn.XLOOKUP(A13,Descriptions!$A:$A,Descriptions!$C:$C))</f>
        <v>Útrokningar útláti sum stavar frá nýtslu av brennievni í sambandi við el-, hita-, damp- ella orkuframleiðslu. Hetta fevnir um brenning av gassi, olju ella koli í generatorum, oljufýrum ella aðrari útgerð, sum letur vakstrarhúsgass út í lofthavið.</v>
      </c>
      <c r="F19" s="67"/>
      <c r="G19" s="67"/>
      <c r="H19" s="67"/>
      <c r="I19" s="67"/>
      <c r="J19" s="67"/>
      <c r="K19" s="67"/>
      <c r="L19" s="67"/>
      <c r="M19" s="67"/>
      <c r="N19" s="67"/>
      <c r="O19" s="67"/>
      <c r="P19" s="67"/>
      <c r="Q19" s="67"/>
      <c r="R19" s="67"/>
      <c r="S19" s="67"/>
      <c r="T19" s="67"/>
      <c r="U19" s="67"/>
      <c r="V19" s="67"/>
      <c r="W19" s="67"/>
      <c r="X19" s="67"/>
      <c r="Y19" s="67"/>
      <c r="Z19" s="67"/>
      <c r="AA19" s="67"/>
    </row>
    <row r="20" spans="1:27" ht="54" customHeight="1">
      <c r="A20" s="168" t="s">
        <v>98</v>
      </c>
      <c r="B20" s="166"/>
      <c r="C20" s="173"/>
      <c r="D20" s="294" t="s">
        <v>99</v>
      </c>
      <c r="E20" s="320" t="str">
        <f>IF($A$2="English",_xlfn.XLOOKUP(A14,Descriptions!$A:$A,Descriptions!$B:$B),_xlfn.XLOOKUP(A14,Descriptions!$A:$A,Descriptions!$C:$C))</f>
        <v>Útlátsútrokningar av brennievnisnýtslu hjá akførum, ið fyritøkan eigur ella leigar, t.d. løttum/tungum akførum, bilum, lastbilum, flogførum, fiskiførum. Hetta fevnir um brennievnisnýtslu í flytførari (mobilari) útgerð, sum letur vakstrarhúsgass út í lofthavið.</v>
      </c>
      <c r="F20" s="67"/>
      <c r="G20" s="67"/>
      <c r="H20" s="67"/>
      <c r="I20" s="67"/>
      <c r="J20" s="67"/>
      <c r="K20" s="67"/>
      <c r="L20" s="67"/>
      <c r="M20" s="67"/>
      <c r="N20" s="67"/>
      <c r="O20" s="67"/>
      <c r="P20" s="67"/>
      <c r="Q20" s="67"/>
      <c r="R20" s="67"/>
      <c r="S20" s="67"/>
      <c r="T20" s="67"/>
      <c r="U20" s="67"/>
      <c r="V20" s="67"/>
      <c r="W20" s="67"/>
      <c r="X20" s="67"/>
      <c r="Y20" s="67"/>
      <c r="Z20" s="67"/>
      <c r="AA20" s="67"/>
    </row>
    <row r="21" spans="1:27" ht="54" customHeight="1">
      <c r="A21" s="71" t="s">
        <v>100</v>
      </c>
      <c r="B21" s="166"/>
      <c r="C21" s="173"/>
      <c r="D21" s="294" t="s">
        <v>101</v>
      </c>
      <c r="E21" s="320" t="str">
        <f>IF($A$2="English",_xlfn.XLOOKUP(A15,Descriptions!$A:$A,Descriptions!$B:$B),_xlfn.XLOOKUP(A15,Descriptions!$A:$A,Descriptions!$C:$C))</f>
        <v>Útlát frá lekum á køli- og luftskiftisskipanum, -tænastum og burturbeining av slíkari útgerð, tá ið hon ikki verður brúkt longur.</v>
      </c>
      <c r="F21" s="67"/>
      <c r="G21" s="67"/>
      <c r="H21" s="67"/>
      <c r="I21" s="67"/>
      <c r="J21" s="67"/>
      <c r="K21" s="67"/>
      <c r="L21" s="67"/>
      <c r="M21" s="67"/>
      <c r="N21" s="67"/>
      <c r="O21" s="67"/>
      <c r="P21" s="67"/>
      <c r="Q21" s="67"/>
      <c r="R21" s="67"/>
      <c r="S21" s="67"/>
      <c r="T21" s="67"/>
      <c r="U21" s="67"/>
      <c r="V21" s="67"/>
      <c r="W21" s="67"/>
      <c r="X21" s="67"/>
      <c r="Y21" s="67"/>
      <c r="Z21" s="67"/>
      <c r="AA21" s="67"/>
    </row>
    <row r="22" spans="1:27" ht="54" customHeight="1">
      <c r="A22" s="71" t="s">
        <v>102</v>
      </c>
      <c r="B22" s="166"/>
      <c r="C22" s="173"/>
      <c r="D22" s="296" t="s">
        <v>103</v>
      </c>
      <c r="E22" s="320" t="str">
        <f>IF($A$2="English",_xlfn.XLOOKUP(A16,Descriptions!$A:$A,Descriptions!$B:$B),_xlfn.XLOOKUP(A16,Descriptions!$A:$A,Descriptions!$C:$C))</f>
        <v>Útlátsútrokningar fyri el, ið er keypt frá lokalum veitara til nýtslu.</v>
      </c>
      <c r="F22" s="67"/>
      <c r="G22" s="67"/>
      <c r="H22" s="67"/>
      <c r="I22" s="67"/>
      <c r="J22" s="67"/>
      <c r="K22" s="67"/>
      <c r="L22" s="67"/>
      <c r="M22" s="67"/>
      <c r="N22" s="67"/>
      <c r="O22" s="67"/>
      <c r="P22" s="67"/>
      <c r="Q22" s="67"/>
      <c r="R22" s="67"/>
      <c r="S22" s="67"/>
      <c r="T22" s="67"/>
      <c r="U22" s="67"/>
      <c r="V22" s="67"/>
      <c r="W22" s="67"/>
      <c r="X22" s="67"/>
      <c r="Y22" s="67"/>
      <c r="Z22" s="67"/>
      <c r="AA22" s="67"/>
    </row>
    <row r="23" spans="1:27" ht="54" customHeight="1">
      <c r="A23" s="71" t="s">
        <v>104</v>
      </c>
      <c r="B23" s="166"/>
      <c r="C23" s="173"/>
      <c r="D23" s="296" t="s">
        <v>105</v>
      </c>
      <c r="E23" s="320" t="str">
        <f>IF($A$2="English",_xlfn.XLOOKUP(A17,Descriptions!$A:$A,Descriptions!$B:$B),_xlfn.XLOOKUP(A17,Descriptions!$A:$A,Descriptions!$C:$C))</f>
        <v>Útlát frá dampi, hita og køling, ið er veitt gjøgnum netið/skipan.</v>
      </c>
      <c r="F23" s="78"/>
      <c r="G23" s="67"/>
      <c r="H23" s="78"/>
      <c r="I23" s="78"/>
      <c r="J23" s="78"/>
      <c r="K23" s="78"/>
      <c r="L23" s="67"/>
      <c r="M23" s="67"/>
      <c r="N23" s="67"/>
      <c r="O23" s="67"/>
      <c r="P23" s="67"/>
      <c r="Q23" s="67"/>
      <c r="R23" s="67"/>
      <c r="S23" s="67"/>
      <c r="T23" s="67"/>
      <c r="U23" s="67"/>
      <c r="V23" s="67"/>
      <c r="W23" s="67"/>
      <c r="X23" s="67"/>
      <c r="Y23" s="67"/>
      <c r="Z23" s="67"/>
      <c r="AA23" s="67"/>
    </row>
    <row r="24" spans="1:27" ht="54" customHeight="1">
      <c r="A24" s="71" t="s">
        <v>106</v>
      </c>
      <c r="B24" s="166"/>
      <c r="C24" s="173"/>
      <c r="D24" s="297" t="s">
        <v>107</v>
      </c>
      <c r="E24" s="320" t="str">
        <f>IF($A$2="English",_xlfn.XLOOKUP(A18,Descriptions!$A:$A,Descriptions!$B:$B),_xlfn.XLOOKUP(A18,Descriptions!$A:$A,Descriptions!$C:$C))</f>
        <v>Útlátsútrokningar av brennievnisnýtslu hjá akførum, ið eru fíggjað av fyritøkuni og nýtt til rávøruflutning og -veiting í virðisketu fyritøkunnar.</v>
      </c>
      <c r="F24" s="78"/>
      <c r="G24" s="67"/>
      <c r="H24" s="78"/>
      <c r="I24" s="78"/>
      <c r="J24" s="78"/>
      <c r="K24" s="78"/>
      <c r="L24" s="67"/>
      <c r="M24" s="67"/>
      <c r="N24" s="67"/>
      <c r="O24" s="67"/>
      <c r="P24" s="67"/>
      <c r="Q24" s="67"/>
      <c r="R24" s="67"/>
      <c r="S24" s="67"/>
      <c r="T24" s="67"/>
      <c r="U24" s="67"/>
      <c r="V24" s="67"/>
      <c r="W24" s="67"/>
      <c r="X24" s="67"/>
      <c r="Y24" s="67"/>
      <c r="Z24" s="67"/>
      <c r="AA24" s="67"/>
    </row>
    <row r="25" spans="1:27" ht="54" customHeight="1">
      <c r="A25" s="71" t="s">
        <v>108</v>
      </c>
      <c r="B25" s="166"/>
      <c r="C25" s="173"/>
      <c r="D25" s="297" t="s">
        <v>109</v>
      </c>
      <c r="E25" s="320" t="str">
        <f>IF($A$2="English",_xlfn.XLOOKUP(A19,Descriptions!$A:$A,Descriptions!$B:$B),_xlfn.XLOOKUP(A19,Descriptions!$A:$A,Descriptions!$C:$C))</f>
        <v>Liðugvøruflutningur og -veiting fevnir um brennievnisnýtslu hjá akførum, ið eru fíggjað av fyritøkuni og nýtt til liðugvøruflutning og -veiting í virðisketu fyritøkunnar.</v>
      </c>
      <c r="F25" s="79"/>
      <c r="G25" s="67"/>
      <c r="H25" s="79"/>
      <c r="I25" s="79"/>
      <c r="J25" s="79"/>
      <c r="K25" s="79"/>
      <c r="L25" s="67"/>
      <c r="M25" s="67"/>
      <c r="N25" s="67"/>
      <c r="O25" s="67"/>
      <c r="P25" s="67"/>
      <c r="Q25" s="67"/>
      <c r="R25" s="67"/>
      <c r="S25" s="67"/>
      <c r="T25" s="67"/>
      <c r="U25" s="67"/>
      <c r="V25" s="67"/>
      <c r="W25" s="67"/>
      <c r="X25" s="67"/>
      <c r="Y25" s="67"/>
      <c r="Z25" s="67"/>
      <c r="AA25" s="67"/>
    </row>
    <row r="26" spans="1:27" ht="54" customHeight="1">
      <c r="A26" s="71" t="s">
        <v>110</v>
      </c>
      <c r="B26" s="166"/>
      <c r="C26" s="173"/>
      <c r="D26" s="297" t="s">
        <v>111</v>
      </c>
      <c r="E26" s="320" t="str">
        <f>IF($A$2="English",_xlfn.XLOOKUP(A20,Descriptions!$A:$A,Descriptions!$B:$B),_xlfn.XLOOKUP(A20,Descriptions!$A:$A,Descriptions!$C:$C))</f>
        <v>Útrokningar av útláti frá flutningi av starvsfólki í arbeiðsørindum í akførum, sum triði partur eigur ella rekur, til dømis flogførum, tokum, bussum og bilum.</v>
      </c>
      <c r="F26" s="79"/>
      <c r="G26" s="67"/>
      <c r="H26" s="79"/>
      <c r="I26" s="79"/>
      <c r="J26" s="79"/>
      <c r="K26" s="79"/>
      <c r="L26" s="67"/>
      <c r="M26" s="67"/>
      <c r="N26" s="67"/>
      <c r="O26" s="67"/>
      <c r="P26" s="67"/>
      <c r="Q26" s="67"/>
      <c r="R26" s="67"/>
      <c r="S26" s="67"/>
      <c r="T26" s="67"/>
      <c r="U26" s="67"/>
      <c r="V26" s="67"/>
      <c r="W26" s="67"/>
      <c r="X26" s="67"/>
      <c r="Y26" s="67"/>
      <c r="Z26" s="67"/>
      <c r="AA26" s="67"/>
    </row>
    <row r="27" spans="1:27" ht="54" customHeight="1">
      <c r="A27" s="71" t="s">
        <v>112</v>
      </c>
      <c r="B27" s="166"/>
      <c r="C27" s="173"/>
      <c r="D27" s="297" t="s">
        <v>113</v>
      </c>
      <c r="E27" s="320" t="str">
        <f>IF($A$2="English",_xlfn.XLOOKUP(A21,Descriptions!$A:$A,Descriptions!$B:$B),_xlfn.XLOOKUP(A21,Descriptions!$A:$A,Descriptions!$C:$C))</f>
        <v>Útrokningar av útláti frá flutningi av starvsfólki millum bústað og arbeiðsstað.</v>
      </c>
      <c r="F27" s="80"/>
      <c r="G27" s="67"/>
      <c r="H27" s="80"/>
      <c r="I27" s="80"/>
      <c r="J27" s="80"/>
      <c r="K27" s="80"/>
      <c r="L27" s="67"/>
      <c r="M27" s="67"/>
      <c r="N27" s="67"/>
      <c r="O27" s="67"/>
      <c r="P27" s="67"/>
      <c r="Q27" s="67"/>
      <c r="R27" s="67"/>
      <c r="S27" s="67"/>
      <c r="T27" s="67"/>
      <c r="U27" s="67"/>
      <c r="V27" s="67"/>
      <c r="W27" s="67"/>
      <c r="X27" s="67"/>
      <c r="Y27" s="67"/>
      <c r="Z27" s="67"/>
      <c r="AA27" s="67"/>
    </row>
    <row r="28" spans="1:27" ht="60" customHeight="1">
      <c r="B28" s="166"/>
      <c r="C28" s="173"/>
      <c r="D28" s="297" t="s">
        <v>114</v>
      </c>
      <c r="E28" s="320" t="str">
        <f>IF($A$2="English",_xlfn.XLOOKUP(A22,Descriptions!$A:$A,Descriptions!$B:$B),_xlfn.XLOOKUP(A22,Descriptions!$A:$A,Descriptions!$C:$C))</f>
        <v>Útrokningar av útláti frá burturbeining og viðgerð hjá triðjaparti av burturkasti frá virksemi, ið fyritøkan varðar av.</v>
      </c>
      <c r="F28" s="77"/>
      <c r="G28" s="67"/>
      <c r="H28" s="67"/>
      <c r="I28" s="67"/>
      <c r="J28" s="67"/>
      <c r="K28" s="67"/>
      <c r="L28" s="67"/>
      <c r="M28" s="67"/>
      <c r="N28" s="67"/>
      <c r="O28" s="67"/>
      <c r="P28" s="67"/>
      <c r="Q28" s="67"/>
      <c r="R28" s="67"/>
      <c r="S28" s="67"/>
      <c r="T28" s="67"/>
      <c r="U28" s="67"/>
      <c r="V28" s="67"/>
      <c r="W28" s="67"/>
      <c r="X28" s="67"/>
      <c r="Y28" s="67"/>
      <c r="Z28" s="67"/>
      <c r="AA28" s="67"/>
    </row>
    <row r="29" spans="1:27" ht="60" hidden="1" customHeight="1">
      <c r="B29" s="166"/>
      <c r="C29" s="173"/>
      <c r="D29" s="318" t="s">
        <v>116</v>
      </c>
      <c r="E29" s="320" t="str">
        <f>IF($A$2="English",_xlfn.XLOOKUP(A24,Descriptions!$A:$A,Descriptions!$B:$B),_xlfn.XLOOKUP(A24,Descriptions!$A:$A,Descriptions!$C:$C))</f>
        <v>Fallmyndir, ið verða brúktar á hvørjum arki.</v>
      </c>
      <c r="F29" s="79"/>
      <c r="G29" s="67"/>
      <c r="H29" s="79"/>
      <c r="I29" s="79"/>
      <c r="J29" s="79"/>
      <c r="K29" s="79"/>
      <c r="L29" s="67"/>
      <c r="M29" s="67"/>
      <c r="N29" s="67"/>
      <c r="O29" s="67"/>
      <c r="P29" s="67"/>
      <c r="Q29" s="67"/>
      <c r="R29" s="67"/>
      <c r="S29" s="67"/>
      <c r="T29" s="67"/>
      <c r="U29" s="67"/>
      <c r="V29" s="67"/>
      <c r="W29" s="67"/>
      <c r="X29" s="67"/>
      <c r="Y29" s="67"/>
      <c r="Z29" s="67"/>
      <c r="AA29" s="67"/>
    </row>
    <row r="30" spans="1:27" ht="14.1" customHeight="1">
      <c r="B30" s="166"/>
      <c r="C30" s="173"/>
      <c r="D30" s="77"/>
      <c r="E30" s="67"/>
      <c r="F30" s="67"/>
      <c r="G30" s="67"/>
      <c r="H30" s="67"/>
      <c r="I30" s="67"/>
      <c r="J30" s="67"/>
      <c r="K30" s="67"/>
      <c r="L30" s="67"/>
      <c r="M30" s="67"/>
      <c r="N30" s="67"/>
      <c r="O30" s="67"/>
      <c r="P30" s="67"/>
      <c r="Q30" s="67"/>
      <c r="R30" s="67"/>
      <c r="S30" s="67"/>
      <c r="T30" s="67"/>
      <c r="U30" s="67"/>
      <c r="V30" s="67"/>
      <c r="W30" s="67"/>
      <c r="X30" s="67"/>
      <c r="Y30" s="67"/>
      <c r="Z30" s="67"/>
      <c r="AA30" s="67"/>
    </row>
    <row r="31" spans="1:27" ht="14.1" customHeight="1">
      <c r="B31" s="166"/>
      <c r="C31" s="173"/>
      <c r="D31" s="77"/>
      <c r="E31" s="67"/>
      <c r="F31" s="67"/>
      <c r="G31" s="67"/>
      <c r="H31" s="67"/>
      <c r="I31" s="67"/>
      <c r="J31" s="67"/>
      <c r="K31" s="67"/>
      <c r="L31" s="67"/>
      <c r="M31" s="67"/>
      <c r="N31" s="67"/>
      <c r="O31" s="67"/>
      <c r="P31" s="67"/>
      <c r="Q31" s="67"/>
      <c r="R31" s="67"/>
      <c r="S31" s="67"/>
      <c r="T31" s="67"/>
      <c r="U31" s="67"/>
      <c r="V31" s="67"/>
      <c r="W31" s="67"/>
      <c r="X31" s="67"/>
      <c r="Y31" s="67"/>
      <c r="Z31" s="67"/>
      <c r="AA31" s="67"/>
    </row>
    <row r="32" spans="1:27" ht="14.1" customHeight="1">
      <c r="A32" s="168"/>
      <c r="B32" s="172"/>
      <c r="C32" s="173"/>
      <c r="D32" s="257"/>
      <c r="E32" s="78"/>
      <c r="F32" s="78"/>
      <c r="G32" s="78"/>
      <c r="H32" s="78"/>
      <c r="I32" s="78"/>
      <c r="J32" s="78"/>
      <c r="K32" s="78"/>
      <c r="L32" s="67"/>
      <c r="M32" s="67"/>
      <c r="N32" s="67"/>
      <c r="O32" s="67"/>
      <c r="P32" s="67"/>
      <c r="Q32" s="67"/>
      <c r="R32" s="67"/>
      <c r="S32" s="67"/>
      <c r="T32" s="67"/>
      <c r="U32" s="67"/>
      <c r="V32" s="67"/>
      <c r="W32" s="67"/>
      <c r="X32" s="67"/>
      <c r="Y32" s="67"/>
      <c r="Z32" s="67"/>
      <c r="AA32" s="67"/>
    </row>
    <row r="33" spans="1:27" ht="14.1" customHeight="1">
      <c r="A33" s="168"/>
      <c r="B33" s="172"/>
      <c r="C33" s="173"/>
      <c r="D33" s="258"/>
      <c r="E33" s="259"/>
      <c r="F33" s="259"/>
      <c r="G33" s="259"/>
      <c r="H33" s="259"/>
      <c r="I33" s="259"/>
      <c r="J33" s="259"/>
      <c r="K33" s="259"/>
      <c r="L33" s="67"/>
      <c r="M33" s="67"/>
      <c r="N33" s="67"/>
      <c r="O33" s="67"/>
      <c r="P33" s="67"/>
      <c r="Q33" s="67"/>
      <c r="R33" s="67"/>
      <c r="S33" s="67"/>
      <c r="T33" s="67"/>
      <c r="U33" s="67"/>
      <c r="V33" s="67"/>
      <c r="W33" s="67"/>
      <c r="X33" s="67"/>
      <c r="Y33" s="67"/>
      <c r="Z33" s="67"/>
      <c r="AA33" s="67"/>
    </row>
    <row r="34" spans="1:27" ht="14.1" customHeight="1">
      <c r="A34" s="168"/>
      <c r="B34" s="172"/>
      <c r="C34" s="173"/>
      <c r="D34" s="79"/>
      <c r="E34" s="79"/>
      <c r="F34" s="79"/>
      <c r="G34" s="79"/>
      <c r="H34" s="79"/>
      <c r="I34" s="79"/>
      <c r="J34" s="79"/>
      <c r="K34" s="79"/>
      <c r="L34" s="67"/>
      <c r="M34" s="67"/>
      <c r="N34" s="67"/>
      <c r="O34" s="67"/>
      <c r="P34" s="67"/>
      <c r="Q34" s="67"/>
      <c r="R34" s="67"/>
      <c r="S34" s="67"/>
      <c r="T34" s="67"/>
      <c r="U34" s="67"/>
      <c r="V34" s="67"/>
      <c r="W34" s="67"/>
      <c r="X34" s="67"/>
      <c r="Y34" s="67"/>
      <c r="Z34" s="67"/>
      <c r="AA34" s="67"/>
    </row>
    <row r="35" spans="1:27" ht="14.1" customHeight="1">
      <c r="A35" s="168"/>
      <c r="B35" s="172"/>
      <c r="C35" s="173"/>
      <c r="D35" s="79"/>
      <c r="E35" s="79"/>
      <c r="F35" s="79"/>
      <c r="G35" s="79"/>
      <c r="H35" s="79"/>
      <c r="I35" s="79"/>
      <c r="J35" s="79"/>
      <c r="K35" s="79"/>
      <c r="L35" s="67"/>
      <c r="M35" s="67"/>
      <c r="N35" s="67"/>
      <c r="O35" s="67"/>
      <c r="P35" s="67"/>
      <c r="Q35" s="67"/>
      <c r="R35" s="67"/>
      <c r="S35" s="67"/>
      <c r="T35" s="67"/>
      <c r="U35" s="67"/>
      <c r="V35" s="67"/>
      <c r="W35" s="67"/>
      <c r="X35" s="67"/>
      <c r="Y35" s="67"/>
      <c r="Z35" s="67"/>
      <c r="AA35" s="67"/>
    </row>
    <row r="36" spans="1:27" ht="14.1" customHeight="1">
      <c r="A36" s="168"/>
      <c r="B36" s="172"/>
      <c r="C36" s="173"/>
      <c r="D36" s="79"/>
      <c r="E36" s="79"/>
      <c r="F36" s="79"/>
      <c r="G36" s="79"/>
      <c r="H36" s="79"/>
      <c r="I36" s="79"/>
      <c r="J36" s="79"/>
      <c r="K36" s="79"/>
      <c r="L36" s="67"/>
      <c r="M36" s="67"/>
      <c r="N36" s="67"/>
      <c r="O36" s="67"/>
      <c r="P36" s="67"/>
      <c r="Q36" s="67"/>
      <c r="R36" s="67"/>
      <c r="S36" s="67"/>
      <c r="T36" s="67"/>
      <c r="U36" s="67"/>
      <c r="V36" s="67"/>
      <c r="W36" s="67"/>
      <c r="X36" s="67"/>
      <c r="Y36" s="67"/>
      <c r="Z36" s="67"/>
      <c r="AA36" s="67"/>
    </row>
    <row r="37" spans="1:27" ht="14.1" customHeight="1">
      <c r="A37" s="168"/>
      <c r="B37" s="172"/>
      <c r="C37" s="173"/>
      <c r="D37" s="79"/>
      <c r="E37" s="79"/>
      <c r="F37" s="79"/>
      <c r="G37" s="79"/>
      <c r="H37" s="79"/>
      <c r="I37" s="79"/>
      <c r="J37" s="79"/>
      <c r="K37" s="79"/>
      <c r="L37" s="67"/>
      <c r="M37" s="67"/>
      <c r="N37" s="67"/>
      <c r="O37" s="67"/>
      <c r="P37" s="67"/>
      <c r="Q37" s="67"/>
      <c r="R37" s="67"/>
      <c r="S37" s="67"/>
      <c r="T37" s="67"/>
      <c r="U37" s="67"/>
      <c r="V37" s="67"/>
      <c r="W37" s="67"/>
      <c r="X37" s="67"/>
      <c r="Y37" s="67"/>
      <c r="Z37" s="67"/>
      <c r="AA37" s="67"/>
    </row>
    <row r="38" spans="1:27" ht="14.1" customHeight="1">
      <c r="A38" s="168"/>
      <c r="B38" s="172"/>
      <c r="C38" s="173"/>
      <c r="D38" s="77"/>
      <c r="E38" s="67"/>
      <c r="F38" s="67"/>
      <c r="G38" s="67"/>
      <c r="H38" s="67"/>
      <c r="I38" s="67"/>
      <c r="J38" s="67"/>
      <c r="K38" s="67"/>
      <c r="L38" s="67"/>
      <c r="M38" s="67"/>
      <c r="N38" s="67"/>
      <c r="O38" s="67"/>
      <c r="P38" s="67"/>
      <c r="Q38" s="67"/>
      <c r="R38" s="67"/>
      <c r="S38" s="67"/>
      <c r="T38" s="67"/>
      <c r="U38" s="67"/>
      <c r="V38" s="67"/>
      <c r="W38" s="67"/>
      <c r="X38" s="67"/>
      <c r="Y38" s="67"/>
      <c r="Z38" s="67"/>
      <c r="AA38" s="67"/>
    </row>
    <row r="39" spans="1:27" ht="14.1" customHeight="1">
      <c r="B39" s="166"/>
      <c r="C39" s="173"/>
      <c r="D39" s="77"/>
      <c r="E39" s="67"/>
      <c r="F39" s="67"/>
      <c r="G39" s="67"/>
      <c r="H39" s="67"/>
      <c r="I39" s="67"/>
      <c r="J39" s="67"/>
      <c r="K39" s="67"/>
      <c r="L39" s="67"/>
      <c r="M39" s="67"/>
      <c r="N39" s="67"/>
      <c r="O39" s="67"/>
      <c r="P39" s="67"/>
      <c r="Q39" s="67"/>
      <c r="R39" s="67"/>
      <c r="S39" s="67"/>
      <c r="T39" s="67"/>
      <c r="U39" s="67"/>
      <c r="V39" s="67"/>
      <c r="W39" s="67"/>
      <c r="X39" s="67"/>
      <c r="Y39" s="67"/>
      <c r="Z39" s="67"/>
      <c r="AA39" s="67"/>
    </row>
    <row r="40" spans="1:27" ht="14.1" customHeight="1">
      <c r="B40" s="166"/>
      <c r="C40" s="173"/>
      <c r="D40" s="260"/>
      <c r="E40" s="86"/>
      <c r="F40" s="86"/>
      <c r="G40" s="86"/>
      <c r="H40" s="86"/>
      <c r="I40" s="86"/>
      <c r="J40" s="86"/>
      <c r="K40" s="86"/>
      <c r="L40" s="67"/>
      <c r="M40" s="67"/>
      <c r="N40" s="67"/>
      <c r="O40" s="67"/>
      <c r="P40" s="67"/>
      <c r="Q40" s="67"/>
      <c r="R40" s="67"/>
      <c r="S40" s="67"/>
      <c r="T40" s="67"/>
      <c r="U40" s="67"/>
      <c r="V40" s="67"/>
      <c r="W40" s="67"/>
      <c r="X40" s="67"/>
      <c r="Y40" s="67"/>
      <c r="Z40" s="67"/>
      <c r="AA40" s="67"/>
    </row>
    <row r="41" spans="1:27" ht="14.1" customHeight="1">
      <c r="B41" s="166"/>
      <c r="C41" s="173"/>
      <c r="D41" s="77"/>
      <c r="E41" s="67"/>
      <c r="F41" s="67"/>
      <c r="G41" s="67"/>
      <c r="H41" s="67"/>
      <c r="I41" s="67"/>
      <c r="J41" s="67"/>
      <c r="K41" s="67"/>
      <c r="L41" s="67"/>
      <c r="M41" s="67"/>
      <c r="N41" s="67"/>
      <c r="O41" s="67"/>
      <c r="P41" s="67"/>
      <c r="Q41" s="67"/>
      <c r="R41" s="67"/>
      <c r="S41" s="67"/>
      <c r="T41" s="67"/>
      <c r="U41" s="67"/>
      <c r="V41" s="67"/>
      <c r="W41" s="67"/>
      <c r="X41" s="67"/>
      <c r="Y41" s="67"/>
      <c r="Z41" s="67"/>
      <c r="AA41" s="67"/>
    </row>
    <row r="42" spans="1:27" ht="14.1" customHeight="1">
      <c r="B42" s="166"/>
      <c r="C42" s="173"/>
      <c r="D42" s="77"/>
      <c r="E42" s="67"/>
      <c r="F42" s="67"/>
      <c r="G42" s="67"/>
      <c r="H42" s="67"/>
      <c r="I42" s="67"/>
      <c r="J42" s="67"/>
      <c r="K42" s="67"/>
      <c r="L42" s="67"/>
      <c r="M42" s="67"/>
      <c r="N42" s="67"/>
      <c r="O42" s="67"/>
      <c r="P42" s="67"/>
      <c r="Q42" s="67"/>
      <c r="R42" s="67"/>
      <c r="S42" s="67"/>
      <c r="T42" s="67"/>
      <c r="U42" s="67"/>
      <c r="V42" s="67"/>
      <c r="W42" s="67"/>
      <c r="X42" s="67"/>
      <c r="Y42" s="67"/>
      <c r="Z42" s="67"/>
      <c r="AA42" s="67"/>
    </row>
    <row r="43" spans="1:27" ht="14.1" customHeight="1">
      <c r="B43" s="166"/>
      <c r="C43" s="173"/>
      <c r="D43" s="77"/>
      <c r="E43" s="67"/>
      <c r="F43" s="67"/>
      <c r="G43" s="67"/>
      <c r="H43" s="67"/>
      <c r="I43" s="67"/>
      <c r="J43" s="67"/>
      <c r="K43" s="67"/>
      <c r="L43" s="67"/>
      <c r="M43" s="67"/>
      <c r="N43" s="67"/>
      <c r="O43" s="67"/>
      <c r="P43" s="67"/>
      <c r="Q43" s="67"/>
      <c r="R43" s="67"/>
      <c r="S43" s="67"/>
      <c r="T43" s="67"/>
      <c r="U43" s="67"/>
      <c r="V43" s="67"/>
      <c r="W43" s="67"/>
      <c r="X43" s="67"/>
      <c r="Y43" s="67"/>
      <c r="Z43" s="67"/>
      <c r="AA43" s="67"/>
    </row>
    <row r="44" spans="1:27" ht="14.1" customHeight="1">
      <c r="B44" s="166"/>
      <c r="C44" s="173"/>
      <c r="D44" s="261"/>
      <c r="E44" s="262"/>
      <c r="F44" s="262"/>
      <c r="G44" s="262"/>
      <c r="H44" s="262"/>
      <c r="I44" s="262"/>
      <c r="J44" s="262"/>
      <c r="K44" s="262"/>
      <c r="L44" s="67"/>
      <c r="M44" s="67"/>
      <c r="N44" s="67"/>
      <c r="O44" s="67"/>
      <c r="P44" s="67"/>
      <c r="Q44" s="67"/>
      <c r="R44" s="67"/>
      <c r="S44" s="67"/>
      <c r="T44" s="67"/>
      <c r="U44" s="67"/>
      <c r="V44" s="67"/>
      <c r="W44" s="67"/>
      <c r="X44" s="67"/>
      <c r="Y44" s="67"/>
      <c r="Z44" s="67"/>
      <c r="AA44" s="67"/>
    </row>
    <row r="45" spans="1:27" ht="14.1" customHeight="1">
      <c r="B45" s="166"/>
      <c r="C45" s="173"/>
      <c r="D45" s="77"/>
      <c r="E45" s="67"/>
      <c r="F45" s="67"/>
      <c r="G45" s="67"/>
      <c r="H45" s="67"/>
      <c r="I45" s="67"/>
      <c r="J45" s="67"/>
      <c r="K45" s="67"/>
      <c r="L45" s="67"/>
      <c r="M45" s="67"/>
      <c r="N45" s="67"/>
      <c r="O45" s="67"/>
      <c r="P45" s="67"/>
      <c r="Q45" s="67"/>
      <c r="R45" s="67"/>
      <c r="S45" s="67"/>
      <c r="T45" s="67"/>
      <c r="U45" s="67"/>
      <c r="V45" s="67"/>
      <c r="W45" s="67"/>
      <c r="X45" s="67"/>
      <c r="Y45" s="67"/>
      <c r="Z45" s="67"/>
      <c r="AA45" s="67"/>
    </row>
    <row r="46" spans="1:27" ht="14.1" customHeight="1">
      <c r="B46" s="166"/>
      <c r="C46" s="173"/>
      <c r="D46" s="77"/>
      <c r="E46" s="67"/>
      <c r="F46" s="67"/>
      <c r="G46" s="67"/>
      <c r="H46" s="67"/>
      <c r="I46" s="67"/>
      <c r="J46" s="67"/>
      <c r="K46" s="67"/>
      <c r="L46" s="67"/>
      <c r="M46" s="67"/>
      <c r="N46" s="67"/>
      <c r="O46" s="67"/>
      <c r="P46" s="67"/>
      <c r="Q46" s="67"/>
      <c r="R46" s="67"/>
      <c r="S46" s="67"/>
      <c r="T46" s="67"/>
      <c r="U46" s="67"/>
      <c r="V46" s="67"/>
      <c r="W46" s="67"/>
      <c r="X46" s="67"/>
      <c r="Y46" s="67"/>
      <c r="Z46" s="67"/>
      <c r="AA46" s="67"/>
    </row>
    <row r="47" spans="1:27" ht="14.1" customHeight="1">
      <c r="B47" s="166"/>
      <c r="C47" s="173"/>
      <c r="D47" s="77"/>
      <c r="E47" s="67"/>
      <c r="F47" s="67"/>
      <c r="G47" s="67"/>
      <c r="H47" s="67"/>
      <c r="I47" s="67"/>
      <c r="J47" s="67"/>
      <c r="K47" s="67"/>
      <c r="L47" s="67"/>
      <c r="M47" s="67"/>
      <c r="N47" s="67"/>
      <c r="O47" s="67"/>
      <c r="P47" s="67"/>
      <c r="Q47" s="67"/>
      <c r="R47" s="67"/>
      <c r="S47" s="67"/>
      <c r="T47" s="67"/>
      <c r="U47" s="67"/>
      <c r="V47" s="67"/>
      <c r="W47" s="67"/>
      <c r="X47" s="67"/>
      <c r="Y47" s="67"/>
      <c r="Z47" s="67"/>
      <c r="AA47" s="67"/>
    </row>
    <row r="48" spans="1:27" ht="14.1" customHeight="1">
      <c r="B48" s="166"/>
      <c r="C48" s="173"/>
      <c r="D48" s="77"/>
      <c r="E48" s="67"/>
      <c r="F48" s="67"/>
      <c r="G48" s="67"/>
      <c r="H48" s="67"/>
      <c r="I48" s="67"/>
      <c r="J48" s="67"/>
      <c r="K48" s="67"/>
      <c r="L48" s="67"/>
      <c r="M48" s="67"/>
      <c r="N48" s="67"/>
      <c r="O48" s="67"/>
      <c r="P48" s="67"/>
      <c r="Q48" s="67"/>
      <c r="R48" s="67"/>
      <c r="S48" s="67"/>
      <c r="T48" s="67"/>
      <c r="U48" s="67"/>
      <c r="V48" s="67"/>
      <c r="W48" s="67"/>
      <c r="X48" s="67"/>
      <c r="Y48" s="67"/>
      <c r="Z48" s="67"/>
      <c r="AA48" s="67"/>
    </row>
    <row r="49" spans="2:27" ht="14.1" customHeight="1">
      <c r="B49" s="166"/>
      <c r="C49" s="173"/>
      <c r="D49" s="77"/>
      <c r="E49" s="67"/>
      <c r="F49" s="67"/>
      <c r="G49" s="67"/>
      <c r="H49" s="67"/>
      <c r="I49" s="67"/>
      <c r="J49" s="67"/>
      <c r="K49" s="67"/>
      <c r="L49" s="67"/>
      <c r="M49" s="67"/>
      <c r="N49" s="67"/>
      <c r="O49" s="67"/>
      <c r="P49" s="67"/>
      <c r="Q49" s="67"/>
      <c r="R49" s="67"/>
      <c r="S49" s="67"/>
      <c r="T49" s="67"/>
      <c r="U49" s="67"/>
      <c r="V49" s="67"/>
      <c r="W49" s="67"/>
      <c r="X49" s="67"/>
      <c r="Y49" s="67"/>
      <c r="Z49" s="67"/>
      <c r="AA49" s="67"/>
    </row>
    <row r="50" spans="2:27" ht="14.1" customHeight="1">
      <c r="B50" s="166"/>
      <c r="C50" s="173"/>
      <c r="D50" s="77"/>
      <c r="E50" s="67"/>
      <c r="F50" s="67"/>
      <c r="G50" s="67"/>
      <c r="H50" s="67"/>
      <c r="I50" s="67"/>
      <c r="J50" s="67"/>
      <c r="K50" s="67"/>
      <c r="L50" s="67"/>
      <c r="M50" s="67"/>
      <c r="N50" s="67"/>
      <c r="O50" s="67"/>
      <c r="P50" s="67"/>
      <c r="Q50" s="67"/>
      <c r="R50" s="67"/>
      <c r="S50" s="67"/>
      <c r="T50" s="67"/>
      <c r="U50" s="67"/>
      <c r="V50" s="67"/>
      <c r="W50" s="67"/>
      <c r="X50" s="67"/>
      <c r="Y50" s="67"/>
      <c r="Z50" s="67"/>
      <c r="AA50" s="67"/>
    </row>
    <row r="51" spans="2:27">
      <c r="B51" s="166"/>
      <c r="C51" s="173"/>
      <c r="D51" s="77"/>
      <c r="E51" s="67"/>
      <c r="F51" s="67"/>
      <c r="G51" s="67"/>
      <c r="H51" s="67"/>
      <c r="I51" s="67"/>
      <c r="J51" s="67"/>
      <c r="K51" s="67"/>
      <c r="L51" s="67"/>
      <c r="M51" s="67"/>
      <c r="N51" s="67"/>
      <c r="O51" s="67"/>
      <c r="P51" s="67"/>
      <c r="Q51" s="67"/>
      <c r="R51" s="67"/>
      <c r="S51" s="67"/>
      <c r="T51" s="67"/>
      <c r="U51" s="67"/>
      <c r="V51" s="67"/>
      <c r="W51" s="67"/>
      <c r="X51" s="67"/>
      <c r="Y51" s="67"/>
      <c r="Z51" s="67"/>
      <c r="AA51" s="67"/>
    </row>
    <row r="52" spans="2:27">
      <c r="B52" s="166"/>
      <c r="C52" s="173"/>
      <c r="D52" s="77"/>
      <c r="E52" s="67"/>
      <c r="F52" s="67"/>
      <c r="G52" s="67"/>
      <c r="H52" s="67"/>
      <c r="I52" s="67"/>
      <c r="J52" s="67"/>
      <c r="K52" s="67"/>
      <c r="L52" s="67"/>
      <c r="M52" s="67"/>
      <c r="N52" s="67"/>
      <c r="O52" s="67"/>
      <c r="P52" s="67"/>
      <c r="Q52" s="67"/>
      <c r="R52" s="67"/>
      <c r="S52" s="67"/>
      <c r="T52" s="67"/>
      <c r="U52" s="67"/>
      <c r="V52" s="67"/>
      <c r="W52" s="67"/>
      <c r="X52" s="67"/>
      <c r="Y52" s="67"/>
      <c r="Z52" s="67"/>
      <c r="AA52" s="67"/>
    </row>
    <row r="53" spans="2:27">
      <c r="B53" s="166"/>
      <c r="C53" s="173"/>
      <c r="D53" s="77"/>
      <c r="E53" s="67"/>
      <c r="F53" s="67"/>
      <c r="G53" s="67"/>
      <c r="H53" s="67"/>
      <c r="I53" s="67"/>
      <c r="J53" s="67"/>
      <c r="K53" s="67"/>
      <c r="L53" s="67"/>
      <c r="M53" s="67"/>
      <c r="N53" s="67"/>
      <c r="O53" s="67"/>
      <c r="P53" s="67"/>
      <c r="Q53" s="67"/>
      <c r="R53" s="67"/>
      <c r="S53" s="67"/>
      <c r="T53" s="67"/>
      <c r="U53" s="67"/>
      <c r="V53" s="67"/>
      <c r="W53" s="67"/>
      <c r="X53" s="67"/>
      <c r="Y53" s="67"/>
      <c r="Z53" s="67"/>
      <c r="AA53" s="67"/>
    </row>
    <row r="54" spans="2:27">
      <c r="B54" s="166"/>
      <c r="C54" s="173"/>
      <c r="D54" s="77"/>
      <c r="E54" s="67"/>
      <c r="F54" s="67"/>
      <c r="G54" s="67"/>
      <c r="H54" s="67"/>
      <c r="I54" s="67"/>
      <c r="J54" s="67"/>
      <c r="K54" s="67"/>
      <c r="L54" s="67"/>
      <c r="M54" s="67"/>
      <c r="N54" s="67"/>
      <c r="O54" s="67"/>
      <c r="P54" s="67"/>
      <c r="Q54" s="67"/>
      <c r="R54" s="67"/>
      <c r="S54" s="67"/>
      <c r="T54" s="67"/>
      <c r="U54" s="67"/>
      <c r="V54" s="67"/>
      <c r="W54" s="67"/>
      <c r="X54" s="67"/>
      <c r="Y54" s="67"/>
      <c r="Z54" s="67"/>
      <c r="AA54" s="67"/>
    </row>
    <row r="55" spans="2:27">
      <c r="B55" s="166"/>
      <c r="C55" s="173"/>
      <c r="D55" s="77"/>
      <c r="E55" s="67"/>
      <c r="F55" s="67"/>
      <c r="G55" s="67"/>
      <c r="H55" s="67"/>
      <c r="I55" s="67"/>
      <c r="J55" s="67"/>
      <c r="K55" s="67"/>
      <c r="L55" s="67"/>
      <c r="M55" s="67"/>
      <c r="N55" s="67"/>
      <c r="O55" s="67"/>
      <c r="P55" s="67"/>
      <c r="Q55" s="67"/>
      <c r="R55" s="67"/>
      <c r="S55" s="67"/>
      <c r="T55" s="67"/>
      <c r="U55" s="67"/>
      <c r="V55" s="67"/>
      <c r="W55" s="67"/>
      <c r="X55" s="67"/>
      <c r="Y55" s="67"/>
      <c r="Z55" s="67"/>
      <c r="AA55" s="67"/>
    </row>
    <row r="56" spans="2:27">
      <c r="B56" s="166"/>
      <c r="C56" s="173"/>
      <c r="D56" s="77"/>
      <c r="E56" s="67"/>
      <c r="F56" s="67"/>
      <c r="G56" s="67"/>
      <c r="H56" s="67"/>
      <c r="I56" s="67"/>
      <c r="J56" s="67"/>
      <c r="K56" s="67"/>
      <c r="L56" s="67"/>
      <c r="M56" s="67"/>
      <c r="N56" s="67"/>
      <c r="O56" s="67"/>
      <c r="P56" s="67"/>
      <c r="Q56" s="67"/>
      <c r="R56" s="67"/>
      <c r="S56" s="67"/>
      <c r="T56" s="67"/>
      <c r="U56" s="67"/>
      <c r="V56" s="67"/>
      <c r="W56" s="67"/>
      <c r="X56" s="67"/>
      <c r="Y56" s="67"/>
      <c r="Z56" s="67"/>
      <c r="AA56" s="67"/>
    </row>
    <row r="57" spans="2:27">
      <c r="B57" s="166"/>
      <c r="C57" s="173"/>
      <c r="D57" s="77"/>
      <c r="E57" s="67"/>
      <c r="F57" s="67"/>
      <c r="G57" s="67"/>
      <c r="H57" s="67"/>
      <c r="I57" s="67"/>
      <c r="J57" s="67"/>
      <c r="K57" s="67"/>
      <c r="L57" s="67"/>
      <c r="M57" s="67"/>
      <c r="N57" s="67"/>
      <c r="O57" s="67"/>
      <c r="P57" s="67"/>
      <c r="Q57" s="67"/>
      <c r="R57" s="67"/>
      <c r="S57" s="67"/>
      <c r="T57" s="67"/>
      <c r="U57" s="67"/>
      <c r="V57" s="67"/>
      <c r="W57" s="67"/>
      <c r="X57" s="67"/>
      <c r="Y57" s="67"/>
      <c r="Z57" s="67"/>
      <c r="AA57" s="67"/>
    </row>
    <row r="58" spans="2:27">
      <c r="B58" s="166"/>
      <c r="C58" s="173"/>
      <c r="D58" s="77"/>
      <c r="E58" s="67"/>
      <c r="F58" s="67"/>
      <c r="G58" s="67"/>
      <c r="H58" s="67"/>
      <c r="I58" s="67"/>
      <c r="J58" s="67"/>
      <c r="K58" s="67"/>
      <c r="L58" s="67"/>
      <c r="M58" s="67"/>
      <c r="N58" s="67"/>
      <c r="O58" s="67"/>
      <c r="P58" s="67"/>
      <c r="Q58" s="67"/>
      <c r="R58" s="67"/>
      <c r="S58" s="67"/>
      <c r="T58" s="67"/>
      <c r="U58" s="67"/>
      <c r="V58" s="67"/>
      <c r="W58" s="67"/>
      <c r="X58" s="67"/>
      <c r="Y58" s="67"/>
      <c r="Z58" s="67"/>
      <c r="AA58" s="67"/>
    </row>
    <row r="59" spans="2:27">
      <c r="B59" s="166"/>
      <c r="C59" s="173"/>
      <c r="D59" s="77"/>
      <c r="E59" s="67"/>
      <c r="F59" s="67"/>
      <c r="G59" s="67"/>
      <c r="H59" s="67"/>
      <c r="I59" s="67"/>
      <c r="J59" s="67"/>
      <c r="K59" s="67"/>
      <c r="L59" s="67"/>
      <c r="M59" s="67"/>
      <c r="N59" s="67"/>
      <c r="O59" s="67"/>
      <c r="P59" s="67"/>
      <c r="Q59" s="67"/>
      <c r="R59" s="67"/>
      <c r="S59" s="67"/>
      <c r="T59" s="67"/>
      <c r="U59" s="67"/>
      <c r="V59" s="67"/>
      <c r="W59" s="67"/>
      <c r="X59" s="67"/>
      <c r="Y59" s="67"/>
      <c r="Z59" s="67"/>
      <c r="AA59" s="67"/>
    </row>
    <row r="60" spans="2:27">
      <c r="B60" s="166"/>
      <c r="C60" s="173"/>
      <c r="D60" s="77"/>
      <c r="E60" s="67"/>
      <c r="F60" s="67"/>
      <c r="G60" s="67"/>
      <c r="H60" s="67"/>
      <c r="I60" s="67"/>
      <c r="J60" s="67"/>
      <c r="K60" s="67"/>
      <c r="L60" s="67"/>
      <c r="M60" s="67"/>
      <c r="N60" s="67"/>
      <c r="O60" s="67"/>
      <c r="P60" s="67"/>
      <c r="Q60" s="67"/>
      <c r="R60" s="67"/>
      <c r="S60" s="67"/>
      <c r="T60" s="67"/>
      <c r="U60" s="67"/>
      <c r="V60" s="67"/>
      <c r="W60" s="67"/>
      <c r="X60" s="67"/>
      <c r="Y60" s="67"/>
      <c r="Z60" s="67"/>
      <c r="AA60" s="67"/>
    </row>
    <row r="61" spans="2:27">
      <c r="B61" s="166"/>
      <c r="C61" s="173"/>
      <c r="D61" s="77"/>
      <c r="E61" s="67"/>
      <c r="F61" s="67"/>
      <c r="G61" s="67"/>
      <c r="H61" s="67"/>
      <c r="I61" s="67"/>
      <c r="J61" s="67"/>
      <c r="K61" s="67"/>
      <c r="L61" s="67"/>
      <c r="M61" s="67"/>
      <c r="N61" s="67"/>
      <c r="O61" s="67"/>
      <c r="P61" s="67"/>
      <c r="Q61" s="67"/>
      <c r="R61" s="67"/>
      <c r="S61" s="67"/>
      <c r="T61" s="67"/>
      <c r="U61" s="67"/>
      <c r="V61" s="67"/>
      <c r="W61" s="67"/>
      <c r="X61" s="67"/>
      <c r="Y61" s="67"/>
      <c r="Z61" s="67"/>
      <c r="AA61" s="67"/>
    </row>
    <row r="62" spans="2:27" hidden="1">
      <c r="B62" s="166"/>
      <c r="C62" s="173"/>
      <c r="D62" s="77"/>
      <c r="E62" s="67"/>
      <c r="F62" s="67"/>
      <c r="G62" s="67"/>
      <c r="H62" s="67"/>
      <c r="I62" s="67"/>
      <c r="J62" s="67"/>
      <c r="K62" s="67"/>
      <c r="L62" s="67"/>
      <c r="M62" s="67"/>
      <c r="N62" s="67"/>
      <c r="O62" s="67"/>
      <c r="P62" s="67"/>
      <c r="Q62" s="67"/>
      <c r="R62" s="67"/>
      <c r="S62" s="67"/>
      <c r="T62" s="67"/>
      <c r="U62" s="67"/>
      <c r="V62" s="67"/>
      <c r="W62" s="67"/>
      <c r="X62" s="67"/>
      <c r="Y62" s="67"/>
      <c r="Z62" s="67"/>
      <c r="AA62" s="67"/>
    </row>
    <row r="63" spans="2:27" hidden="1">
      <c r="B63" s="166"/>
      <c r="C63" s="173"/>
      <c r="D63" s="77"/>
      <c r="E63" s="67"/>
      <c r="F63" s="67"/>
      <c r="G63" s="67"/>
      <c r="H63" s="67"/>
      <c r="I63" s="67"/>
      <c r="J63" s="67"/>
      <c r="K63" s="67"/>
      <c r="L63" s="67"/>
      <c r="M63" s="67"/>
      <c r="N63" s="67"/>
      <c r="O63" s="67"/>
      <c r="P63" s="67"/>
      <c r="Q63" s="67"/>
      <c r="R63" s="67"/>
      <c r="S63" s="67"/>
      <c r="T63" s="67"/>
      <c r="U63" s="67"/>
      <c r="V63" s="67"/>
      <c r="W63" s="67"/>
      <c r="X63" s="67"/>
      <c r="Y63" s="67"/>
      <c r="Z63" s="67"/>
      <c r="AA63" s="67"/>
    </row>
    <row r="64" spans="2:27" hidden="1">
      <c r="B64" s="166"/>
      <c r="C64" s="67"/>
      <c r="D64" s="77"/>
      <c r="E64" s="67"/>
      <c r="F64" s="67"/>
      <c r="G64" s="67"/>
      <c r="H64" s="67"/>
      <c r="I64" s="67"/>
      <c r="J64" s="67"/>
      <c r="K64" s="67"/>
      <c r="L64" s="67"/>
      <c r="M64" s="67"/>
      <c r="N64" s="67"/>
      <c r="O64" s="67"/>
      <c r="P64" s="67"/>
      <c r="Q64" s="67"/>
      <c r="R64" s="67"/>
      <c r="S64" s="67"/>
      <c r="T64" s="67"/>
      <c r="U64" s="67"/>
      <c r="V64" s="67"/>
      <c r="W64" s="67"/>
      <c r="X64" s="67"/>
      <c r="Y64" s="67"/>
      <c r="Z64" s="67"/>
      <c r="AA64" s="67"/>
    </row>
    <row r="65" spans="2:27" hidden="1">
      <c r="B65" s="166"/>
      <c r="C65" s="67"/>
      <c r="D65" s="77"/>
      <c r="E65" s="67"/>
      <c r="F65" s="67"/>
      <c r="G65" s="67"/>
      <c r="H65" s="67"/>
      <c r="I65" s="67"/>
      <c r="J65" s="67"/>
      <c r="K65" s="67"/>
      <c r="L65" s="67"/>
      <c r="M65" s="67"/>
      <c r="N65" s="67"/>
      <c r="O65" s="67"/>
      <c r="P65" s="67"/>
      <c r="Q65" s="67"/>
      <c r="R65" s="67"/>
      <c r="S65" s="67"/>
      <c r="T65" s="67"/>
      <c r="U65" s="67"/>
      <c r="V65" s="67"/>
      <c r="W65" s="67"/>
      <c r="X65" s="67"/>
      <c r="Y65" s="67"/>
      <c r="Z65" s="67"/>
      <c r="AA65" s="67"/>
    </row>
    <row r="66" spans="2:27" hidden="1">
      <c r="B66" s="166"/>
      <c r="C66" s="67"/>
      <c r="D66" s="77"/>
      <c r="E66" s="67"/>
      <c r="F66" s="67"/>
      <c r="G66" s="67"/>
      <c r="H66" s="67"/>
      <c r="I66" s="67"/>
      <c r="J66" s="67"/>
      <c r="K66" s="67"/>
      <c r="L66" s="67"/>
      <c r="M66" s="67"/>
      <c r="N66" s="67"/>
      <c r="O66" s="67"/>
      <c r="P66" s="67"/>
      <c r="Q66" s="67"/>
      <c r="R66" s="67"/>
      <c r="S66" s="67"/>
      <c r="T66" s="67"/>
      <c r="U66" s="67"/>
      <c r="V66" s="67"/>
      <c r="W66" s="67"/>
      <c r="X66" s="67"/>
      <c r="Y66" s="67"/>
      <c r="Z66" s="67"/>
      <c r="AA66" s="67"/>
    </row>
    <row r="67" spans="2:27"/>
    <row r="68" spans="2:27"/>
    <row r="69" spans="2:27"/>
    <row r="70" spans="2:27"/>
    <row r="71" spans="2:27"/>
  </sheetData>
  <sheetProtection algorithmName="SHA-512" hashValue="ruLgDu4D24qJfiySP4pdlOTWT1xELfKFNfGnimHbI/hWRsUHvbU5icuTUtJeofWQ8swAEGZOomXG7Bq84DuTxw==" saltValue="Acg+j99rOFxcdaAMY2Urwg==" spinCount="100000" sheet="1" objects="1" scenarios="1"/>
  <mergeCells count="2">
    <mergeCell ref="D4:Q11"/>
    <mergeCell ref="D12:L12"/>
  </mergeCells>
  <hyperlinks>
    <hyperlink ref="D15" location="Introduction!A1" display="Introduction" xr:uid="{87EEF480-232B-4A47-9AD4-E6B77E04E76A}"/>
    <hyperlink ref="D16" location="Contents!A1" display="Contents" xr:uid="{19B5DE6E-9BA4-4865-BA34-8FC9135F5CD3}"/>
    <hyperlink ref="D17" location="'Organisation Details'!A1" display="Organisation Details" xr:uid="{DD407EBC-FE3B-4F56-8557-E40DBD5A1789}"/>
    <hyperlink ref="D18" location="Summary!A1" display="Summary" xr:uid="{F3D7EED5-C81D-419C-8C2C-311B5711FB78}"/>
    <hyperlink ref="D19" location="'S1 - Fuels (Stationary)'!A1" display="S1 - Fuels (Stationary)" xr:uid="{0AA473F7-B534-47AE-B3AA-81F8E71A998A}"/>
    <hyperlink ref="D20" location="'S1 - Fuels (Mobile)'!A1" display="S1 - Fuels (Mobile)" xr:uid="{2EDBF672-AAC1-49A9-AD6E-93C8D4CE461B}"/>
    <hyperlink ref="D21" location="'S1 - Refrigerants'!A1" display="S1 - Refrigerants" xr:uid="{C0AB9B35-79D2-4449-9E7E-BE028DFFDBF4}"/>
    <hyperlink ref="D22" location="'S2 - Purchased Electricity'!A1" display="S2 - Purchased Electricity" xr:uid="{A3E8E306-75BE-4F63-9FED-4E991D50B54B}"/>
    <hyperlink ref="D23" location="'S2 - District Heating'!A1" display="S2 - District Heating" xr:uid="{2FA2E233-34F1-4A31-9ADA-833B0091FD7F}"/>
    <hyperlink ref="D24" location="'S3 - Upstream Transport'!A1" display="S3 - Upstream Transportation and Distribution" xr:uid="{AD548A1E-A10A-4F4C-A702-F4BA6FFA75F1}"/>
    <hyperlink ref="D25" location="'S3 - Downstream Transport'!A1" display="S3 - Downstream Transportation and Distribution" xr:uid="{0F869D1F-2379-4294-AC05-CA4F171F67E8}"/>
    <hyperlink ref="D26" location="'S3 - Business Travel'!A1" display="S3 - Business Travel" xr:uid="{82907FAD-8453-4CE2-887A-05B6828B7ED7}"/>
    <hyperlink ref="D27" location="'S3 - Employee Commuting'!A1" display="S3 - Employee Commuting" xr:uid="{CD0EA0A6-294C-4359-BE4C-B26FCF91CCA5}"/>
    <hyperlink ref="D28" location="'S3 - Waste Generated in Ops'!A1" display="S3 - Waste Generated in Operations" xr:uid="{4BDA18D0-1264-4992-8302-4FFCE680FD76}"/>
    <hyperlink ref="D29" location="Glossary!A1" display="Dropdown" xr:uid="{11FB182C-2E60-4C52-88D5-7D36D9ABEA18}"/>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EC6E-4B18-40F3-A54D-A7ACA5A285E3}">
  <sheetPr codeName="Sheet2">
    <tabColor theme="2"/>
  </sheetPr>
  <dimension ref="A1:AA94"/>
  <sheetViews>
    <sheetView showGridLines="0" showRowColHeaders="0" topLeftCell="B2" zoomScale="75" zoomScaleNormal="75" workbookViewId="0">
      <selection activeCell="J19" sqref="J19"/>
    </sheetView>
  </sheetViews>
  <sheetFormatPr defaultColWidth="0" defaultRowHeight="14.25" zeroHeight="1"/>
  <cols>
    <col min="1" max="1" width="13.28515625" style="71" hidden="1" customWidth="1"/>
    <col min="2" max="2" width="4.140625" style="71" customWidth="1"/>
    <col min="3" max="3" width="4.7109375" style="178" customWidth="1"/>
    <col min="4" max="4" width="30.140625" style="67" customWidth="1"/>
    <col min="5" max="5" width="37" style="67" customWidth="1"/>
    <col min="6" max="7" width="30.140625" style="67" customWidth="1"/>
    <col min="8" max="8" width="22.42578125" style="71" customWidth="1"/>
    <col min="9" max="12" width="30.140625" style="71" customWidth="1"/>
    <col min="13" max="26" width="14" style="71" customWidth="1"/>
    <col min="27" max="27" width="14" style="179" customWidth="1"/>
    <col min="28" max="16384" width="14" style="71" hidden="1"/>
  </cols>
  <sheetData>
    <row r="1" spans="1:27" hidden="1">
      <c r="C1" s="71"/>
      <c r="D1" s="166"/>
      <c r="E1" s="166"/>
      <c r="F1" s="166"/>
      <c r="G1" s="166"/>
      <c r="H1" s="166"/>
      <c r="I1" s="166"/>
      <c r="J1" s="166"/>
      <c r="K1" s="166"/>
      <c r="L1" s="166"/>
      <c r="M1" s="166"/>
      <c r="N1" s="166"/>
      <c r="O1" s="166"/>
      <c r="P1" s="166"/>
      <c r="Q1" s="166"/>
      <c r="R1" s="166"/>
      <c r="S1" s="166"/>
      <c r="T1" s="166"/>
      <c r="U1" s="166"/>
      <c r="V1" s="166"/>
      <c r="W1" s="166"/>
      <c r="X1" s="166"/>
      <c r="Y1" s="166"/>
      <c r="Z1" s="166"/>
      <c r="AA1" s="166"/>
    </row>
    <row r="2" spans="1:27" ht="13.5" customHeight="1">
      <c r="A2" s="71" t="str">
        <f>Introduction!$E$14</f>
        <v>Føroyskt</v>
      </c>
      <c r="B2" s="167"/>
      <c r="C2" s="166"/>
      <c r="D2" s="166"/>
      <c r="E2" s="166"/>
      <c r="F2" s="166"/>
      <c r="G2" s="166"/>
      <c r="H2" s="166"/>
      <c r="I2" s="166"/>
      <c r="J2" s="166"/>
      <c r="K2" s="166"/>
      <c r="L2" s="166"/>
      <c r="M2" s="166"/>
      <c r="N2" s="166"/>
      <c r="O2" s="166"/>
      <c r="P2" s="166"/>
      <c r="Q2" s="166"/>
      <c r="R2" s="166"/>
      <c r="S2" s="166"/>
      <c r="T2" s="166"/>
      <c r="U2" s="166"/>
      <c r="V2" s="166"/>
      <c r="W2" s="166"/>
      <c r="X2" s="166"/>
      <c r="Y2" s="166"/>
      <c r="Z2" s="166"/>
      <c r="AA2" s="166"/>
    </row>
    <row r="3" spans="1:27">
      <c r="A3" s="168" t="s">
        <v>0</v>
      </c>
      <c r="B3" s="166"/>
      <c r="C3" s="169"/>
      <c r="D3" s="170"/>
      <c r="E3" s="170"/>
      <c r="F3" s="170"/>
      <c r="G3" s="170"/>
      <c r="H3" s="170"/>
      <c r="I3" s="170"/>
      <c r="J3" s="170"/>
      <c r="K3" s="170"/>
      <c r="L3" s="170"/>
      <c r="M3" s="170"/>
      <c r="N3" s="170"/>
      <c r="O3" s="170"/>
      <c r="P3" s="170"/>
      <c r="Q3" s="170"/>
      <c r="R3" s="170"/>
      <c r="S3" s="170"/>
      <c r="T3" s="170"/>
      <c r="U3" s="170"/>
      <c r="V3" s="170"/>
      <c r="W3" s="170"/>
      <c r="X3" s="170"/>
      <c r="Y3" s="170"/>
      <c r="Z3" s="170"/>
      <c r="AA3" s="171"/>
    </row>
    <row r="4" spans="1:27" ht="5.0999999999999996" customHeight="1">
      <c r="A4" s="71" t="s">
        <v>93</v>
      </c>
      <c r="B4" s="172"/>
      <c r="C4" s="173"/>
      <c r="D4" s="436" t="str">
        <f>IF($A$2="English",_xlfn.XLOOKUP($A$3,Descriptions!$A:$A,Descriptions!$B:$B),_xlfn.XLOOKUP($A$3,Descriptions!$A:$A,Descriptions!$C:$C))</f>
        <v>Føroyskur CO2-roknari. Ár: 2023</v>
      </c>
      <c r="E4" s="436"/>
      <c r="F4" s="436"/>
      <c r="G4" s="436"/>
      <c r="H4" s="436"/>
      <c r="I4" s="436"/>
      <c r="J4" s="436"/>
      <c r="K4" s="436"/>
      <c r="L4" s="436"/>
      <c r="M4" s="436"/>
      <c r="N4" s="436"/>
      <c r="O4" s="436"/>
      <c r="P4" s="436"/>
      <c r="Q4" s="436"/>
      <c r="R4" s="67"/>
      <c r="S4" s="67"/>
      <c r="T4" s="67"/>
      <c r="U4" s="67"/>
      <c r="V4" s="67"/>
      <c r="W4" s="67"/>
      <c r="X4" s="67"/>
      <c r="Y4" s="67"/>
      <c r="Z4" s="67"/>
      <c r="AA4" s="151"/>
    </row>
    <row r="5" spans="1:27" ht="5.0999999999999996" customHeight="1">
      <c r="A5" s="71" t="s">
        <v>117</v>
      </c>
      <c r="B5" s="166"/>
      <c r="C5" s="173"/>
      <c r="D5" s="436"/>
      <c r="E5" s="436"/>
      <c r="F5" s="436"/>
      <c r="G5" s="436"/>
      <c r="H5" s="436"/>
      <c r="I5" s="436"/>
      <c r="J5" s="436"/>
      <c r="K5" s="436"/>
      <c r="L5" s="436"/>
      <c r="M5" s="436"/>
      <c r="N5" s="436"/>
      <c r="O5" s="436"/>
      <c r="P5" s="436"/>
      <c r="Q5" s="436"/>
      <c r="R5" s="67"/>
      <c r="S5" s="67"/>
      <c r="T5" s="67"/>
      <c r="U5" s="67"/>
      <c r="V5" s="67"/>
      <c r="W5" s="67"/>
      <c r="X5" s="67"/>
      <c r="Y5" s="67"/>
      <c r="Z5" s="67"/>
      <c r="AA5" s="151"/>
    </row>
    <row r="6" spans="1:27" ht="5.0999999999999996" customHeight="1">
      <c r="A6" s="71" t="s">
        <v>118</v>
      </c>
      <c r="B6" s="166"/>
      <c r="C6" s="173"/>
      <c r="D6" s="436"/>
      <c r="E6" s="436"/>
      <c r="F6" s="436"/>
      <c r="G6" s="436"/>
      <c r="H6" s="436"/>
      <c r="I6" s="436"/>
      <c r="J6" s="436"/>
      <c r="K6" s="436"/>
      <c r="L6" s="436"/>
      <c r="M6" s="436"/>
      <c r="N6" s="436"/>
      <c r="O6" s="436"/>
      <c r="P6" s="436"/>
      <c r="Q6" s="436"/>
      <c r="R6" s="67"/>
      <c r="S6" s="67"/>
      <c r="T6" s="67"/>
      <c r="U6" s="67"/>
      <c r="V6" s="67"/>
      <c r="W6" s="67"/>
      <c r="X6" s="67"/>
      <c r="Y6" s="67"/>
      <c r="Z6" s="67"/>
      <c r="AA6" s="151"/>
    </row>
    <row r="7" spans="1:27" ht="5.0999999999999996" customHeight="1">
      <c r="A7" s="71" t="s">
        <v>119</v>
      </c>
      <c r="B7" s="166"/>
      <c r="C7" s="173"/>
      <c r="D7" s="436"/>
      <c r="E7" s="436"/>
      <c r="F7" s="436"/>
      <c r="G7" s="436"/>
      <c r="H7" s="436"/>
      <c r="I7" s="436"/>
      <c r="J7" s="436"/>
      <c r="K7" s="436"/>
      <c r="L7" s="436"/>
      <c r="M7" s="436"/>
      <c r="N7" s="436"/>
      <c r="O7" s="436"/>
      <c r="P7" s="436"/>
      <c r="Q7" s="436"/>
      <c r="R7" s="67"/>
      <c r="S7" s="67"/>
      <c r="T7" s="67"/>
      <c r="U7" s="67"/>
      <c r="V7" s="67"/>
      <c r="W7" s="67"/>
      <c r="X7" s="67"/>
      <c r="Y7" s="67"/>
      <c r="Z7" s="67"/>
      <c r="AA7" s="151"/>
    </row>
    <row r="8" spans="1:27" ht="5.0999999999999996" customHeight="1">
      <c r="A8" s="71" t="s">
        <v>120</v>
      </c>
      <c r="B8" s="166"/>
      <c r="C8" s="173"/>
      <c r="D8" s="436"/>
      <c r="E8" s="436"/>
      <c r="F8" s="436"/>
      <c r="G8" s="436"/>
      <c r="H8" s="436"/>
      <c r="I8" s="436"/>
      <c r="J8" s="436"/>
      <c r="K8" s="436"/>
      <c r="L8" s="436"/>
      <c r="M8" s="436"/>
      <c r="N8" s="436"/>
      <c r="O8" s="436"/>
      <c r="P8" s="436"/>
      <c r="Q8" s="436"/>
      <c r="R8" s="67"/>
      <c r="S8" s="67"/>
      <c r="T8" s="67"/>
      <c r="U8" s="67"/>
      <c r="V8" s="67"/>
      <c r="W8" s="67"/>
      <c r="X8" s="67"/>
      <c r="Y8" s="67"/>
      <c r="Z8" s="67"/>
      <c r="AA8" s="151"/>
    </row>
    <row r="9" spans="1:27" ht="5.0999999999999996" customHeight="1">
      <c r="A9" s="71" t="s">
        <v>121</v>
      </c>
      <c r="B9" s="166"/>
      <c r="C9" s="173"/>
      <c r="D9" s="436"/>
      <c r="E9" s="436"/>
      <c r="F9" s="436"/>
      <c r="G9" s="436"/>
      <c r="H9" s="436"/>
      <c r="I9" s="436"/>
      <c r="J9" s="436"/>
      <c r="K9" s="436"/>
      <c r="L9" s="436"/>
      <c r="M9" s="436"/>
      <c r="N9" s="436"/>
      <c r="O9" s="436"/>
      <c r="P9" s="436"/>
      <c r="Q9" s="436"/>
      <c r="R9" s="67"/>
      <c r="S9" s="67"/>
      <c r="T9" s="67"/>
      <c r="U9" s="67"/>
      <c r="V9" s="67"/>
      <c r="W9" s="67"/>
      <c r="X9" s="67"/>
      <c r="Y9" s="67"/>
      <c r="Z9" s="67"/>
      <c r="AA9" s="151"/>
    </row>
    <row r="10" spans="1:27" ht="5.0999999999999996" customHeight="1">
      <c r="A10" s="71" t="s">
        <v>122</v>
      </c>
      <c r="B10" s="166"/>
      <c r="C10" s="173"/>
      <c r="D10" s="436"/>
      <c r="E10" s="436"/>
      <c r="F10" s="436"/>
      <c r="G10" s="436"/>
      <c r="H10" s="436"/>
      <c r="I10" s="436"/>
      <c r="J10" s="436"/>
      <c r="K10" s="436"/>
      <c r="L10" s="436"/>
      <c r="M10" s="436"/>
      <c r="N10" s="436"/>
      <c r="O10" s="436"/>
      <c r="P10" s="436"/>
      <c r="Q10" s="436"/>
      <c r="R10" s="67"/>
      <c r="S10" s="67"/>
      <c r="T10" s="67"/>
      <c r="U10" s="67"/>
      <c r="V10" s="67"/>
      <c r="W10" s="67"/>
      <c r="X10" s="67"/>
      <c r="Y10" s="67"/>
      <c r="Z10" s="67"/>
      <c r="AA10" s="151"/>
    </row>
    <row r="11" spans="1:27" ht="5.0999999999999996" customHeight="1">
      <c r="A11" s="71" t="s">
        <v>123</v>
      </c>
      <c r="B11" s="166"/>
      <c r="C11" s="173"/>
      <c r="D11" s="436"/>
      <c r="E11" s="436"/>
      <c r="F11" s="436"/>
      <c r="G11" s="436"/>
      <c r="H11" s="436"/>
      <c r="I11" s="436"/>
      <c r="J11" s="436"/>
      <c r="K11" s="436"/>
      <c r="L11" s="436"/>
      <c r="M11" s="436"/>
      <c r="N11" s="436"/>
      <c r="O11" s="436"/>
      <c r="P11" s="436"/>
      <c r="Q11" s="436"/>
      <c r="R11" s="67"/>
      <c r="S11" s="67"/>
      <c r="T11" s="67"/>
      <c r="U11" s="67"/>
      <c r="V11" s="67"/>
      <c r="W11" s="67"/>
      <c r="X11" s="67"/>
      <c r="Y11" s="67"/>
      <c r="Z11" s="67"/>
      <c r="AA11" s="151"/>
    </row>
    <row r="12" spans="1:27" ht="99.95" customHeight="1">
      <c r="A12" s="71" t="s">
        <v>124</v>
      </c>
      <c r="B12" s="166"/>
      <c r="C12" s="173"/>
      <c r="D12" s="419" t="str">
        <f>IF($A$2="English",_xlfn.XLOOKUP(A4,Descriptions!$A:$A,Descriptions!$B:$B),_xlfn.XLOOKUP(A4,Descriptions!$A:$A,Descriptions!$C:$C))</f>
        <v>Fyritøkuupplýsingar</v>
      </c>
      <c r="E12" s="419"/>
      <c r="F12" s="419"/>
      <c r="G12" s="419"/>
      <c r="H12" s="419"/>
      <c r="I12" s="419"/>
      <c r="J12" s="419"/>
      <c r="K12" s="419"/>
      <c r="L12" s="419"/>
      <c r="M12" s="419"/>
      <c r="N12" s="419"/>
      <c r="O12" s="419"/>
      <c r="P12" s="419"/>
      <c r="Q12" s="419"/>
      <c r="R12" s="67"/>
      <c r="S12" s="67"/>
      <c r="T12" s="67"/>
      <c r="U12" s="67"/>
      <c r="V12" s="67"/>
      <c r="W12" s="67"/>
      <c r="X12" s="67"/>
      <c r="Y12" s="67"/>
      <c r="Z12" s="67"/>
      <c r="AA12" s="151"/>
    </row>
    <row r="13" spans="1:27">
      <c r="A13" s="71" t="s">
        <v>125</v>
      </c>
      <c r="B13" s="166"/>
      <c r="C13" s="173"/>
      <c r="H13" s="67"/>
      <c r="I13" s="67"/>
      <c r="J13" s="67"/>
      <c r="K13" s="67"/>
      <c r="L13" s="67"/>
      <c r="M13" s="67"/>
      <c r="N13" s="67"/>
      <c r="O13" s="67"/>
      <c r="P13" s="67"/>
      <c r="Q13" s="67"/>
      <c r="R13" s="67"/>
      <c r="S13" s="67"/>
      <c r="T13" s="67"/>
      <c r="U13" s="67"/>
      <c r="V13" s="67"/>
      <c r="W13" s="67"/>
      <c r="X13" s="67"/>
      <c r="Y13" s="67"/>
      <c r="Z13" s="67"/>
      <c r="AA13" s="151"/>
    </row>
    <row r="14" spans="1:27" ht="30" customHeight="1">
      <c r="A14" s="71" t="s">
        <v>126</v>
      </c>
      <c r="B14" s="166"/>
      <c r="C14" s="173"/>
      <c r="D14" s="437" t="str">
        <f>IF($A$2="English",_xlfn.XLOOKUP($A$19,Descriptions!$A:$A,Descriptions!$B:$B),_xlfn.XLOOKUP($A$19,Descriptions!$A:$A,Descriptions!$C:$C))</f>
        <v>Vegleiðing</v>
      </c>
      <c r="E14" s="437"/>
      <c r="F14" s="437"/>
      <c r="G14" s="437"/>
      <c r="H14" s="67"/>
      <c r="I14" s="347" t="str">
        <f>IF($A$2="English",_xlfn.XLOOKUP(A14,Descriptions!$A:$A,Descriptions!$B:$B),_xlfn.XLOOKUP(A14,Descriptions!$A:$A,Descriptions!$C:$C))</f>
        <v>Lykil</v>
      </c>
      <c r="J14" s="67"/>
      <c r="K14" s="67"/>
      <c r="L14" s="67"/>
      <c r="M14" s="67"/>
      <c r="N14" s="67"/>
      <c r="O14" s="67"/>
      <c r="P14" s="67"/>
      <c r="Q14" s="67"/>
      <c r="R14" s="67"/>
      <c r="S14" s="67"/>
      <c r="T14" s="67"/>
      <c r="U14" s="67"/>
      <c r="V14" s="67"/>
      <c r="W14" s="67"/>
      <c r="X14" s="67"/>
      <c r="Y14" s="67"/>
      <c r="Z14" s="67"/>
      <c r="AA14" s="151"/>
    </row>
    <row r="15" spans="1:27" ht="14.1" customHeight="1">
      <c r="A15" s="71" t="s">
        <v>127</v>
      </c>
      <c r="B15" s="166"/>
      <c r="C15" s="173"/>
      <c r="D15" s="424" t="str">
        <f>IF($A$2="English",_xlfn.XLOOKUP(A5,Descriptions!$A:$A,Descriptions!$B:$B),_xlfn.XLOOKUP(A5,Descriptions!$A:$A,Descriptions!$C:$C))</f>
        <v>Á hesum arki skal brúkarin tøppa navn á fyritøku, slag av fráboðanarári (ár/fíggjarár), brúkaranavn og høli/ognir hjá fyritøkuni eftir staðseting.
Gev gætur:
• Teigarnir 'Fyritøka' og 'Fráboðanarár' verða brúktir í samandráttinum.
• Tú kanst velja 'Alt' fyri fasilitet/ogn og staðseting. Tá kanst tú rokna útlát uttan tilknýti til ávísan fasilitet/ogn, t.d. arbeiðsferðing og starvsfólkaferðing.
• Undantikið teigarnar 'Fyritøka' og 'Fasilitetir/ogn og staðseting' er restin av upplýsingunum her bert nevndir sum upplýsingar.
• Feløg við meira enn einari fyritøku (t.d. móðurfeløg) kunnu brúka teigin 'fasilitetir/ogn og staðseting' til at kortleggja sínar fasilitetir/ognir eftir staðseting. Í øðrum lagi kunnu tey brúka ein CO2-roknara til hvørja av sínum fyritøkum.
• Við leitingini 'Høli/ogn og staðseting' kanst tú velja ávísar fasilitetir/ognir í rokniørkunum eftir staðseting.</v>
      </c>
      <c r="E15" s="424"/>
      <c r="F15" s="424"/>
      <c r="G15" s="424"/>
      <c r="H15" s="67"/>
      <c r="I15" s="81" t="str">
        <f>IF($A$2="English",_xlfn.XLOOKUP(A15,Descriptions!$A:$A,Descriptions!$B:$B),_xlfn.XLOOKUP(A15,Descriptions!$A:$A,Descriptions!$C:$C))</f>
        <v>Dátuíkast - Fallmynd</v>
      </c>
      <c r="J15" s="67"/>
      <c r="K15" s="67"/>
      <c r="L15" s="67"/>
      <c r="M15" s="67"/>
      <c r="N15" s="67"/>
      <c r="O15" s="67"/>
      <c r="P15" s="67"/>
      <c r="Q15" s="67"/>
      <c r="R15" s="67"/>
      <c r="S15" s="67"/>
      <c r="T15" s="67"/>
      <c r="U15" s="67"/>
      <c r="V15" s="67"/>
      <c r="W15" s="67"/>
      <c r="X15" s="67"/>
      <c r="Y15" s="67"/>
      <c r="Z15" s="67"/>
      <c r="AA15" s="151"/>
    </row>
    <row r="16" spans="1:27" ht="14.1" customHeight="1">
      <c r="A16" s="71" t="s">
        <v>128</v>
      </c>
      <c r="B16" s="166"/>
      <c r="C16" s="173"/>
      <c r="D16" s="424"/>
      <c r="E16" s="424"/>
      <c r="F16" s="424"/>
      <c r="G16" s="424"/>
      <c r="H16" s="67"/>
      <c r="I16" s="82" t="str">
        <f>IF($A$2="English",_xlfn.XLOOKUP(A16,Descriptions!$A:$A,Descriptions!$B:$B),_xlfn.XLOOKUP(A16,Descriptions!$A:$A,Descriptions!$C:$C))</f>
        <v>Dátuíkast - Tøppa inn</v>
      </c>
      <c r="J16" s="67"/>
      <c r="K16" s="67"/>
      <c r="L16" s="67"/>
      <c r="M16" s="67"/>
      <c r="N16" s="67"/>
      <c r="O16" s="67"/>
      <c r="P16" s="67"/>
      <c r="Q16" s="67"/>
      <c r="R16" s="67"/>
      <c r="S16" s="67"/>
      <c r="T16" s="67"/>
      <c r="U16" s="67"/>
      <c r="V16" s="67"/>
      <c r="W16" s="67"/>
      <c r="X16" s="67"/>
      <c r="Y16" s="67"/>
      <c r="Z16" s="67"/>
      <c r="AA16" s="151"/>
    </row>
    <row r="17" spans="1:27" ht="14.1" customHeight="1">
      <c r="A17" s="71" t="s">
        <v>129</v>
      </c>
      <c r="B17" s="166"/>
      <c r="C17" s="173"/>
      <c r="D17" s="424"/>
      <c r="E17" s="424"/>
      <c r="F17" s="424"/>
      <c r="G17" s="424"/>
      <c r="H17" s="67"/>
      <c r="I17" s="302" t="str">
        <f>IF($A$2="English",_xlfn.XLOOKUP(A17,Descriptions!$A:$A,Descriptions!$B:$B),_xlfn.XLOOKUP(A17,Descriptions!$A:$A,Descriptions!$C:$C))</f>
        <v>Leiting (fastløst)</v>
      </c>
      <c r="J17" s="67"/>
      <c r="K17" s="67"/>
      <c r="L17" s="67"/>
      <c r="M17" s="67"/>
      <c r="N17" s="67"/>
      <c r="O17" s="67"/>
      <c r="P17" s="67"/>
      <c r="Q17" s="67"/>
      <c r="R17" s="67"/>
      <c r="S17" s="67"/>
      <c r="T17" s="67"/>
      <c r="U17" s="67"/>
      <c r="V17" s="67"/>
      <c r="W17" s="67"/>
      <c r="X17" s="67"/>
      <c r="Y17" s="67"/>
      <c r="Z17" s="67"/>
      <c r="AA17" s="151"/>
    </row>
    <row r="18" spans="1:27" ht="14.1" customHeight="1">
      <c r="A18" s="71" t="s">
        <v>130</v>
      </c>
      <c r="B18" s="166"/>
      <c r="C18" s="173"/>
      <c r="D18" s="424"/>
      <c r="E18" s="424"/>
      <c r="F18" s="424"/>
      <c r="G18" s="424"/>
      <c r="H18" s="67"/>
      <c r="I18" s="83" t="str">
        <f>IF($A$2="English",_xlfn.XLOOKUP(A18,Descriptions!$A:$A,Descriptions!$B:$B),_xlfn.XLOOKUP(A18,Descriptions!$A:$A,Descriptions!$C:$C))</f>
        <v>Útrokning</v>
      </c>
      <c r="J18" s="67"/>
      <c r="K18" s="67"/>
      <c r="L18" s="67"/>
      <c r="M18" s="67"/>
      <c r="N18" s="67"/>
      <c r="O18" s="67"/>
      <c r="P18" s="67"/>
      <c r="Q18" s="67"/>
      <c r="R18" s="67"/>
      <c r="S18" s="67"/>
      <c r="T18" s="67"/>
      <c r="U18" s="67"/>
      <c r="V18" s="67"/>
      <c r="W18" s="67"/>
      <c r="X18" s="67"/>
      <c r="Y18" s="67"/>
      <c r="Z18" s="67"/>
      <c r="AA18" s="151"/>
    </row>
    <row r="19" spans="1:27" ht="69.95" customHeight="1">
      <c r="A19" s="71" t="s">
        <v>131</v>
      </c>
      <c r="B19" s="166"/>
      <c r="C19" s="173"/>
      <c r="D19" s="424"/>
      <c r="E19" s="424"/>
      <c r="F19" s="424"/>
      <c r="G19" s="424"/>
      <c r="H19" s="67"/>
      <c r="I19" s="84"/>
      <c r="J19" s="346"/>
      <c r="K19" s="345"/>
      <c r="L19" s="67"/>
      <c r="M19" s="67"/>
      <c r="N19" s="67"/>
      <c r="O19" s="67"/>
      <c r="P19" s="67"/>
      <c r="Q19" s="67"/>
      <c r="R19" s="67"/>
      <c r="S19" s="67"/>
      <c r="T19" s="67"/>
      <c r="U19" s="67"/>
      <c r="V19" s="67"/>
      <c r="W19" s="67"/>
      <c r="X19" s="67"/>
      <c r="Y19" s="67"/>
      <c r="Z19" s="67"/>
      <c r="AA19" s="151"/>
    </row>
    <row r="20" spans="1:27" ht="69.95" customHeight="1">
      <c r="A20" s="71" t="s">
        <v>132</v>
      </c>
      <c r="B20" s="166"/>
      <c r="C20" s="173"/>
      <c r="D20" s="424"/>
      <c r="E20" s="424"/>
      <c r="F20" s="424"/>
      <c r="G20" s="424"/>
      <c r="H20" s="67"/>
      <c r="I20" s="84"/>
      <c r="J20" s="67"/>
      <c r="K20" s="67"/>
      <c r="L20" s="67"/>
      <c r="M20" s="67"/>
      <c r="N20" s="67"/>
      <c r="O20" s="67"/>
      <c r="P20" s="67"/>
      <c r="Q20" s="67"/>
      <c r="R20" s="67"/>
      <c r="S20" s="67"/>
      <c r="T20" s="67"/>
      <c r="U20" s="67"/>
      <c r="V20" s="67"/>
      <c r="W20" s="67"/>
      <c r="X20" s="67"/>
      <c r="Y20" s="67"/>
      <c r="Z20" s="67"/>
      <c r="AA20" s="151"/>
    </row>
    <row r="21" spans="1:27">
      <c r="A21" s="71" t="s">
        <v>133</v>
      </c>
      <c r="B21" s="166"/>
      <c r="C21" s="173"/>
      <c r="H21" s="67"/>
      <c r="I21" s="67"/>
      <c r="J21" s="67"/>
      <c r="K21" s="67"/>
      <c r="L21" s="67"/>
      <c r="M21" s="67"/>
      <c r="N21" s="67"/>
      <c r="O21" s="67"/>
      <c r="P21" s="67"/>
      <c r="Q21" s="67"/>
      <c r="R21" s="67"/>
      <c r="S21" s="67"/>
      <c r="T21" s="67"/>
      <c r="U21" s="67"/>
      <c r="V21" s="67"/>
      <c r="W21" s="67"/>
      <c r="X21" s="67"/>
      <c r="Y21" s="67"/>
      <c r="Z21" s="67"/>
      <c r="AA21" s="151"/>
    </row>
    <row r="22" spans="1:27" ht="30" customHeight="1">
      <c r="A22" s="71" t="s">
        <v>134</v>
      </c>
      <c r="B22" s="166"/>
      <c r="C22" s="173"/>
      <c r="D22" s="437" t="str">
        <f>D12</f>
        <v>Fyritøkuupplýsingar</v>
      </c>
      <c r="E22" s="437"/>
      <c r="F22" s="437"/>
      <c r="G22" s="437"/>
      <c r="H22" s="348"/>
      <c r="I22" s="438" t="str">
        <f>'V1 - Fuels (Stationary)'!D22</f>
        <v>Dømi</v>
      </c>
      <c r="J22" s="438"/>
      <c r="K22" s="438"/>
      <c r="L22" s="438"/>
      <c r="M22" s="67"/>
      <c r="N22" s="67"/>
      <c r="O22" s="67"/>
      <c r="P22" s="67"/>
      <c r="Q22" s="67"/>
      <c r="R22" s="67"/>
      <c r="S22" s="67"/>
      <c r="T22" s="67"/>
      <c r="U22" s="67"/>
      <c r="V22" s="67"/>
      <c r="W22" s="67"/>
      <c r="X22" s="67"/>
      <c r="Y22" s="67"/>
      <c r="Z22" s="67"/>
      <c r="AA22" s="151"/>
    </row>
    <row r="23" spans="1:27" ht="15" customHeight="1">
      <c r="A23" s="71" t="s">
        <v>135</v>
      </c>
      <c r="B23" s="166"/>
      <c r="C23" s="173"/>
      <c r="D23" s="85"/>
      <c r="H23" s="67"/>
      <c r="I23" s="362"/>
      <c r="J23" s="362"/>
      <c r="K23" s="363"/>
      <c r="L23" s="363"/>
      <c r="M23" s="67"/>
      <c r="N23" s="67"/>
      <c r="O23" s="67"/>
      <c r="P23" s="67"/>
      <c r="Q23" s="67"/>
      <c r="R23" s="67"/>
      <c r="S23" s="67"/>
      <c r="T23" s="67"/>
      <c r="U23" s="67"/>
      <c r="V23" s="67"/>
      <c r="W23" s="67"/>
      <c r="X23" s="67"/>
      <c r="Y23" s="67"/>
      <c r="Z23" s="67"/>
      <c r="AA23" s="151"/>
    </row>
    <row r="24" spans="1:27" ht="15" customHeight="1">
      <c r="A24" s="71" t="s">
        <v>136</v>
      </c>
      <c r="B24" s="166"/>
      <c r="C24" s="173"/>
      <c r="D24" s="339" t="str">
        <f>IF($A$2="English",_xlfn.XLOOKUP(A6,Descriptions!$A:$A,Descriptions!$B:$B),_xlfn.XLOOKUP(A6,Descriptions!$A:$A,Descriptions!$C:$C))</f>
        <v>Fyritøka</v>
      </c>
      <c r="E24" s="299"/>
      <c r="H24" s="67"/>
      <c r="I24" s="339" t="str">
        <f>IF($A$2="English",_xlfn.XLOOKUP(A6,Descriptions!$A:$A,Descriptions!$B:$B),_xlfn.XLOOKUP(A6,Descriptions!$A:$A,Descriptions!$C:$C))</f>
        <v>Fyritøka</v>
      </c>
      <c r="J24" s="364" t="s">
        <v>1087</v>
      </c>
      <c r="K24" s="365"/>
      <c r="L24" s="365"/>
      <c r="M24" s="67"/>
      <c r="N24" s="67"/>
      <c r="O24" s="67"/>
      <c r="P24" s="67"/>
      <c r="Q24" s="67"/>
      <c r="R24" s="67"/>
      <c r="S24" s="67"/>
      <c r="T24" s="67"/>
      <c r="U24" s="67"/>
      <c r="V24" s="67"/>
      <c r="W24" s="67"/>
      <c r="X24" s="67"/>
      <c r="Y24" s="67"/>
      <c r="Z24" s="67"/>
      <c r="AA24" s="151"/>
    </row>
    <row r="25" spans="1:27" ht="15" customHeight="1">
      <c r="A25" s="71" t="s">
        <v>137</v>
      </c>
      <c r="B25" s="166"/>
      <c r="C25" s="173"/>
      <c r="D25" s="85"/>
      <c r="H25" s="67"/>
      <c r="K25" s="365"/>
      <c r="L25" s="365"/>
      <c r="M25" s="67"/>
      <c r="N25" s="67"/>
      <c r="O25" s="67"/>
      <c r="P25" s="67"/>
      <c r="Q25" s="67"/>
      <c r="R25" s="67"/>
      <c r="S25" s="67"/>
      <c r="T25" s="67"/>
      <c r="U25" s="67"/>
      <c r="V25" s="67"/>
      <c r="W25" s="67"/>
      <c r="X25" s="67"/>
      <c r="Y25" s="67"/>
      <c r="Z25" s="67"/>
      <c r="AA25" s="151"/>
    </row>
    <row r="26" spans="1:27" ht="15" customHeight="1">
      <c r="A26" s="71" t="s">
        <v>138</v>
      </c>
      <c r="B26" s="166"/>
      <c r="C26" s="173"/>
      <c r="D26" s="339" t="str">
        <f>IF($A$2="English",_xlfn.XLOOKUP(A7,Descriptions!$A:$A,Descriptions!$B:$B),_xlfn.XLOOKUP(A7,Descriptions!$A:$A,Descriptions!$C:$C))</f>
        <v>Fráboðanarár</v>
      </c>
      <c r="E26" s="380">
        <v>2023</v>
      </c>
      <c r="F26" s="86"/>
      <c r="H26" s="67"/>
      <c r="I26" s="339" t="str">
        <f>IF($A$2="English",_xlfn.XLOOKUP(A7,Descriptions!$A:$A,Descriptions!$B:$B),_xlfn.XLOOKUP(A7,Descriptions!$A:$A,Descriptions!$C:$C))</f>
        <v>Fráboðanarár</v>
      </c>
      <c r="J26" s="324">
        <v>2023</v>
      </c>
      <c r="K26" s="365"/>
      <c r="L26" s="365"/>
      <c r="M26" s="67"/>
      <c r="N26" s="67"/>
      <c r="O26" s="67"/>
      <c r="P26" s="67"/>
      <c r="Q26" s="67"/>
      <c r="R26" s="67"/>
      <c r="S26" s="67"/>
      <c r="T26" s="67"/>
      <c r="U26" s="67"/>
      <c r="V26" s="67"/>
      <c r="W26" s="67"/>
      <c r="X26" s="67"/>
      <c r="Y26" s="67"/>
      <c r="Z26" s="67"/>
      <c r="AA26" s="151"/>
    </row>
    <row r="27" spans="1:27" ht="15" customHeight="1">
      <c r="A27" s="71" t="s">
        <v>139</v>
      </c>
      <c r="B27" s="166"/>
      <c r="C27" s="173"/>
      <c r="D27" s="85"/>
      <c r="E27" s="86"/>
      <c r="F27" s="86"/>
      <c r="H27" s="67"/>
      <c r="I27" s="366"/>
      <c r="J27" s="367"/>
      <c r="K27" s="365"/>
      <c r="L27" s="365"/>
      <c r="M27" s="67"/>
      <c r="N27" s="67"/>
      <c r="O27" s="67"/>
      <c r="P27" s="67"/>
      <c r="Q27" s="67"/>
      <c r="R27" s="67"/>
      <c r="S27" s="67"/>
      <c r="T27" s="67"/>
      <c r="U27" s="67"/>
      <c r="V27" s="67"/>
      <c r="W27" s="67"/>
      <c r="X27" s="67"/>
      <c r="Y27" s="67"/>
      <c r="Z27" s="67"/>
      <c r="AA27" s="151"/>
    </row>
    <row r="28" spans="1:27" ht="15" customHeight="1">
      <c r="A28" s="71" t="s">
        <v>140</v>
      </c>
      <c r="B28" s="166"/>
      <c r="C28" s="173"/>
      <c r="D28" s="339" t="str">
        <f>IF($A$2="English",_xlfn.XLOOKUP(A8,Descriptions!$A:$A,Descriptions!$B:$B),_xlfn.XLOOKUP(A8,Descriptions!$A:$A,Descriptions!$C:$C))</f>
        <v>Slag av fráboðarári</v>
      </c>
      <c r="E28" s="361" t="s">
        <v>141</v>
      </c>
      <c r="F28" s="86"/>
      <c r="H28" s="67"/>
      <c r="I28" s="339" t="str">
        <f>IF($A$2="English",_xlfn.XLOOKUP(A8,Descriptions!$A:$A,Descriptions!$B:$B),_xlfn.XLOOKUP(A8,Descriptions!$A:$A,Descriptions!$C:$C))</f>
        <v>Slag av fráboðarári</v>
      </c>
      <c r="J28" s="368" t="s">
        <v>141</v>
      </c>
      <c r="K28" s="365"/>
      <c r="L28" s="365"/>
      <c r="M28" s="67"/>
      <c r="N28" s="67"/>
      <c r="O28" s="67"/>
      <c r="P28" s="67"/>
      <c r="Q28" s="67"/>
      <c r="R28" s="67"/>
      <c r="S28" s="67"/>
      <c r="T28" s="67"/>
      <c r="U28" s="67"/>
      <c r="V28" s="67"/>
      <c r="W28" s="67"/>
      <c r="X28" s="67"/>
      <c r="Y28" s="67"/>
      <c r="Z28" s="67"/>
      <c r="AA28" s="151"/>
    </row>
    <row r="29" spans="1:27" ht="15" customHeight="1">
      <c r="B29" s="166"/>
      <c r="C29" s="173"/>
      <c r="D29" s="85"/>
      <c r="E29" s="86"/>
      <c r="H29" s="67"/>
      <c r="K29" s="365"/>
      <c r="L29" s="365"/>
      <c r="M29" s="67"/>
      <c r="N29" s="67"/>
      <c r="O29" s="67"/>
      <c r="P29" s="67"/>
      <c r="Q29" s="67"/>
      <c r="R29" s="67"/>
      <c r="S29" s="67"/>
      <c r="T29" s="67"/>
      <c r="U29" s="67"/>
      <c r="V29" s="67"/>
      <c r="W29" s="67"/>
      <c r="X29" s="67"/>
      <c r="Y29" s="67"/>
      <c r="Z29" s="67"/>
      <c r="AA29" s="151"/>
    </row>
    <row r="30" spans="1:27" ht="15" customHeight="1">
      <c r="B30" s="166"/>
      <c r="C30" s="173"/>
      <c r="D30" s="339" t="str">
        <f>IF($A$2="English",_xlfn.XLOOKUP(A9,Descriptions!$A:$A,Descriptions!$B:$B),_xlfn.XLOOKUP(A9,Descriptions!$A:$A,Descriptions!$C:$C))</f>
        <v>Brúkari</v>
      </c>
      <c r="E30" s="298"/>
      <c r="F30" s="86"/>
      <c r="H30" s="67"/>
      <c r="I30" s="339" t="str">
        <f>IF($A$2="English",_xlfn.XLOOKUP(A9,Descriptions!$A:$A,Descriptions!$B:$B),_xlfn.XLOOKUP(A9,Descriptions!$A:$A,Descriptions!$C:$C))</f>
        <v>Brúkari</v>
      </c>
      <c r="J30" s="369" t="s">
        <v>1270</v>
      </c>
      <c r="K30" s="365"/>
      <c r="L30" s="365"/>
      <c r="M30" s="67"/>
      <c r="N30" s="67"/>
      <c r="O30" s="67"/>
      <c r="P30" s="67"/>
      <c r="Q30" s="67"/>
      <c r="R30" s="67"/>
      <c r="S30" s="67"/>
      <c r="T30" s="67"/>
      <c r="U30" s="67"/>
      <c r="V30" s="67"/>
      <c r="W30" s="67"/>
      <c r="X30" s="67"/>
      <c r="Y30" s="67"/>
      <c r="Z30" s="67"/>
      <c r="AA30" s="151"/>
    </row>
    <row r="31" spans="1:27" ht="15" customHeight="1">
      <c r="B31" s="166"/>
      <c r="C31" s="173"/>
      <c r="D31" s="87"/>
      <c r="E31" s="88"/>
      <c r="F31" s="89"/>
      <c r="G31" s="89"/>
      <c r="H31" s="67"/>
      <c r="K31" s="365"/>
      <c r="L31" s="365"/>
      <c r="M31" s="67"/>
      <c r="N31" s="67"/>
      <c r="O31" s="67"/>
      <c r="P31" s="67"/>
      <c r="Q31" s="67"/>
      <c r="R31" s="67"/>
      <c r="S31" s="67"/>
      <c r="T31" s="67"/>
      <c r="U31" s="67"/>
      <c r="V31" s="67"/>
      <c r="W31" s="67"/>
      <c r="X31" s="67"/>
      <c r="Y31" s="67"/>
      <c r="Z31" s="67"/>
      <c r="AA31" s="151"/>
    </row>
    <row r="32" spans="1:27" ht="15" customHeight="1">
      <c r="B32" s="166"/>
      <c r="C32" s="173"/>
      <c r="D32" s="325"/>
      <c r="E32" s="322" t="str">
        <f>IF($A$2="English",_xlfn.XLOOKUP(A11,Descriptions!$A:$A,Descriptions!$B:$B),_xlfn.XLOOKUP(A11,Descriptions!$A:$A,Descriptions!$C:$C))</f>
        <v>Fasilitetur/ogn</v>
      </c>
      <c r="F32" s="322" t="str">
        <f>IF($A$2="English",_xlfn.XLOOKUP(A12,Descriptions!$A:$A,Descriptions!$B:$B),_xlfn.XLOOKUP(A12,Descriptions!$A:$A,Descriptions!$C:$C))</f>
        <v>Staðseting</v>
      </c>
      <c r="G32" s="322" t="str">
        <f>IF($A$2="English",_xlfn.XLOOKUP(A13,Descriptions!$A:$A,Descriptions!$B:$B),_xlfn.XLOOKUP(A13,Descriptions!$A:$A,Descriptions!$C:$C))</f>
        <v>Leiting</v>
      </c>
      <c r="H32" s="67"/>
      <c r="I32" s="445" t="str">
        <f>IF($A$2="English",_xlfn.XLOOKUP(A10,Descriptions!$A:$A,Descriptions!$B:$B),_xlfn.XLOOKUP(A10,Descriptions!$A:$A,Descriptions!$C:$C))</f>
        <v>Fasilitetur/ogn og staðseting</v>
      </c>
      <c r="J32" s="370" t="str">
        <f>IF($A$2="English",_xlfn.XLOOKUP(A11,Descriptions!$A:$A,Descriptions!$B:$B),_xlfn.XLOOKUP(A11,Descriptions!$A:$A,Descriptions!$C:$C))</f>
        <v>Fasilitetur/ogn</v>
      </c>
      <c r="K32" s="371" t="str">
        <f>IF($A$2="English",_xlfn.XLOOKUP(A12,Descriptions!$A:$A,Descriptions!$B:$B),_xlfn.XLOOKUP(A12,Descriptions!$A:$A,Descriptions!$C:$C))</f>
        <v>Staðseting</v>
      </c>
      <c r="L32" s="372" t="str">
        <f>IF($A$2="English",_xlfn.XLOOKUP(A13,Descriptions!$A:$A,Descriptions!$B:$B),_xlfn.XLOOKUP(A13,Descriptions!$A:$A,Descriptions!$C:$C))</f>
        <v>Leiting</v>
      </c>
      <c r="M32" s="67"/>
      <c r="N32" s="67"/>
      <c r="O32" s="67"/>
      <c r="P32" s="67"/>
      <c r="Q32" s="67"/>
      <c r="R32" s="67"/>
      <c r="S32" s="67"/>
      <c r="T32" s="67"/>
      <c r="U32" s="67"/>
      <c r="V32" s="67"/>
      <c r="W32" s="67"/>
      <c r="X32" s="67"/>
      <c r="Y32" s="67"/>
      <c r="Z32" s="67"/>
      <c r="AA32" s="151"/>
    </row>
    <row r="33" spans="2:27" ht="15" customHeight="1">
      <c r="B33" s="166"/>
      <c r="C33" s="173"/>
      <c r="D33" s="443" t="str">
        <f>IF($A$2="English",_xlfn.XLOOKUP(A10,Descriptions!$A:$A,Descriptions!$B:$B),_xlfn.XLOOKUP(A10,Descriptions!$A:$A,Descriptions!$C:$C))</f>
        <v>Fasilitetur/ogn og staðseting</v>
      </c>
      <c r="E33" s="324" t="str">
        <f>IF($A$2="English",_xlfn.XLOOKUP(A28,Descriptions!$A:$A,Descriptions!$B:$B),_xlfn.XLOOKUP(A28,Descriptions!$A:$A,Descriptions!$C:$C))</f>
        <v>Alt</v>
      </c>
      <c r="F33" s="324" t="str">
        <f>IF($A$2="English",_xlfn.XLOOKUP(A28,Descriptions!$A:$A,Descriptions!$B:$B),_xlfn.XLOOKUP(A28,Descriptions!$A:$A,Descriptions!$C:$C))</f>
        <v>Alt</v>
      </c>
      <c r="G33" s="323" t="str">
        <f>E33&amp;" - "&amp;F33</f>
        <v>Alt - Alt</v>
      </c>
      <c r="H33" s="67"/>
      <c r="I33" s="445"/>
      <c r="J33" s="373" t="str">
        <f>IF($A$2="English",_xlfn.XLOOKUP(A28,Descriptions!$A:$A,Descriptions!$B:$B),_xlfn.XLOOKUP(A28,Descriptions!$A:$A,Descriptions!$C:$C))</f>
        <v>Alt</v>
      </c>
      <c r="K33" s="324" t="str">
        <f>IF($A$2="English",_xlfn.XLOOKUP(A28,Descriptions!$A:$A,Descriptions!$B:$B),_xlfn.XLOOKUP(A28,Descriptions!$A:$A,Descriptions!$C:$C))</f>
        <v>Alt</v>
      </c>
      <c r="L33" s="374" t="str">
        <f>J33&amp;" - "&amp;K33</f>
        <v>Alt - Alt</v>
      </c>
      <c r="M33" s="67"/>
      <c r="N33" s="67"/>
      <c r="O33" s="67"/>
      <c r="P33" s="67"/>
      <c r="Q33" s="67"/>
      <c r="R33" s="67"/>
      <c r="S33" s="67"/>
      <c r="T33" s="67"/>
      <c r="U33" s="67"/>
      <c r="V33" s="67"/>
      <c r="W33" s="67"/>
      <c r="X33" s="67"/>
      <c r="Y33" s="67"/>
      <c r="Z33" s="67"/>
      <c r="AA33" s="151"/>
    </row>
    <row r="34" spans="2:27" ht="15" customHeight="1">
      <c r="B34" s="166"/>
      <c r="C34" s="173"/>
      <c r="D34" s="443"/>
      <c r="E34" s="90"/>
      <c r="F34" s="90"/>
      <c r="G34" s="323" t="str">
        <f t="shared" ref="G34:G58" si="0">E34&amp;" - "&amp;F34</f>
        <v xml:space="preserve"> - </v>
      </c>
      <c r="H34" s="67"/>
      <c r="I34" s="445"/>
      <c r="J34" s="375" t="str">
        <f>IF($A$2="English",_xlfn.XLOOKUP(A20,Descriptions!$A:$A,Descriptions!$B:$B),_xlfn.XLOOKUP(A20,Descriptions!$A:$A,Descriptions!$C:$C))</f>
        <v>Bygningar</v>
      </c>
      <c r="K34" s="376" t="s">
        <v>142</v>
      </c>
      <c r="L34" s="323" t="str">
        <f t="shared" ref="L34:L37" si="1">J34&amp;" - "&amp;K34</f>
        <v>Bygningar - Tórshavn</v>
      </c>
      <c r="M34" s="67"/>
      <c r="N34" s="67"/>
      <c r="O34" s="67"/>
      <c r="P34" s="67"/>
      <c r="Q34" s="67"/>
      <c r="R34" s="67"/>
      <c r="S34" s="67"/>
      <c r="T34" s="67"/>
      <c r="U34" s="67"/>
      <c r="V34" s="67"/>
      <c r="W34" s="67"/>
      <c r="X34" s="67"/>
      <c r="Y34" s="67"/>
      <c r="Z34" s="67"/>
      <c r="AA34" s="151"/>
    </row>
    <row r="35" spans="2:27" ht="15" customHeight="1">
      <c r="B35" s="166"/>
      <c r="C35" s="173"/>
      <c r="D35" s="443"/>
      <c r="E35" s="90"/>
      <c r="F35" s="90"/>
      <c r="G35" s="323" t="str">
        <f t="shared" si="0"/>
        <v xml:space="preserve"> - </v>
      </c>
      <c r="H35" s="67"/>
      <c r="I35" s="445"/>
      <c r="J35" s="375" t="str">
        <f>IF($A$2="English",_xlfn.XLOOKUP(A21,Descriptions!$A:$A,Descriptions!$B:$B),_xlfn.XLOOKUP(A21,Descriptions!$A:$A,Descriptions!$C:$C))</f>
        <v>Skrivstovur</v>
      </c>
      <c r="K35" s="376" t="s">
        <v>142</v>
      </c>
      <c r="L35" s="323" t="str">
        <f t="shared" si="1"/>
        <v>Skrivstovur - Tórshavn</v>
      </c>
      <c r="M35" s="67"/>
      <c r="N35" s="67"/>
      <c r="O35" s="67"/>
      <c r="P35" s="67"/>
      <c r="Q35" s="67"/>
      <c r="R35" s="67"/>
      <c r="S35" s="67"/>
      <c r="T35" s="67"/>
      <c r="U35" s="67"/>
      <c r="V35" s="67"/>
      <c r="W35" s="67"/>
      <c r="X35" s="67"/>
      <c r="Y35" s="67"/>
      <c r="Z35" s="67"/>
      <c r="AA35" s="151"/>
    </row>
    <row r="36" spans="2:27" ht="15" customHeight="1">
      <c r="B36" s="166"/>
      <c r="C36" s="173"/>
      <c r="D36" s="443"/>
      <c r="E36" s="90"/>
      <c r="F36" s="90"/>
      <c r="G36" s="323" t="str">
        <f t="shared" si="0"/>
        <v xml:space="preserve"> - </v>
      </c>
      <c r="H36" s="67"/>
      <c r="I36" s="445"/>
      <c r="J36" s="375" t="str">
        <f>IF($A$2="English",_xlfn.XLOOKUP(A22,Descriptions!$A:$A,Descriptions!$B:$B),_xlfn.XLOOKUP(A22,Descriptions!$A:$A,Descriptions!$C:$C))</f>
        <v>Goymsla</v>
      </c>
      <c r="K36" s="376" t="s">
        <v>143</v>
      </c>
      <c r="L36" s="323" t="str">
        <f t="shared" si="1"/>
        <v>Goymsla - Klaksvik</v>
      </c>
      <c r="M36" s="67"/>
      <c r="N36" s="67"/>
      <c r="O36" s="67"/>
      <c r="P36" s="67"/>
      <c r="Q36" s="67"/>
      <c r="R36" s="67"/>
      <c r="S36" s="67"/>
      <c r="T36" s="67"/>
      <c r="U36" s="67"/>
      <c r="V36" s="67"/>
      <c r="W36" s="67"/>
      <c r="X36" s="67"/>
      <c r="Y36" s="67"/>
      <c r="Z36" s="67"/>
      <c r="AA36" s="151"/>
    </row>
    <row r="37" spans="2:27" ht="15" customHeight="1">
      <c r="B37" s="166"/>
      <c r="C37" s="173"/>
      <c r="D37" s="443"/>
      <c r="E37" s="90"/>
      <c r="F37" s="90"/>
      <c r="G37" s="323" t="str">
        <f t="shared" si="0"/>
        <v xml:space="preserve"> - </v>
      </c>
      <c r="H37" s="67"/>
      <c r="I37" s="445"/>
      <c r="J37" s="375" t="str">
        <f>IF($A$2="English",_xlfn.XLOOKUP(A23,Descriptions!$A:$A,Descriptions!$B:$B),_xlfn.XLOOKUP(A23,Descriptions!$A:$A,Descriptions!$C:$C))</f>
        <v>Floti</v>
      </c>
      <c r="K37" s="376" t="s">
        <v>140</v>
      </c>
      <c r="L37" s="323" t="str">
        <f t="shared" si="1"/>
        <v>Floti - All</v>
      </c>
      <c r="M37" s="67"/>
      <c r="N37" s="67"/>
      <c r="O37" s="67"/>
      <c r="P37" s="67"/>
      <c r="Q37" s="67"/>
      <c r="R37" s="67"/>
      <c r="S37" s="67"/>
      <c r="T37" s="67"/>
      <c r="U37" s="67"/>
      <c r="V37" s="67"/>
      <c r="W37" s="67"/>
      <c r="X37" s="67"/>
      <c r="Y37" s="67"/>
      <c r="Z37" s="67"/>
      <c r="AA37" s="151"/>
    </row>
    <row r="38" spans="2:27" ht="15" customHeight="1">
      <c r="B38" s="166"/>
      <c r="C38" s="173"/>
      <c r="D38" s="443"/>
      <c r="E38" s="90"/>
      <c r="F38" s="90"/>
      <c r="G38" s="323" t="str">
        <f>E38&amp;" - "&amp;F38</f>
        <v xml:space="preserve"> - </v>
      </c>
      <c r="H38" s="67"/>
      <c r="I38" s="445"/>
      <c r="J38" s="375"/>
      <c r="K38" s="376"/>
      <c r="L38" s="323" t="str">
        <f t="shared" ref="L38:L58" si="2">J38&amp;" - "&amp;K38</f>
        <v xml:space="preserve"> - </v>
      </c>
      <c r="M38" s="67"/>
      <c r="N38" s="67"/>
      <c r="O38" s="67"/>
      <c r="P38" s="67"/>
      <c r="Q38" s="67"/>
      <c r="R38" s="67"/>
      <c r="S38" s="67"/>
      <c r="T38" s="67"/>
      <c r="U38" s="67"/>
      <c r="V38" s="67"/>
      <c r="W38" s="67"/>
      <c r="X38" s="67"/>
      <c r="Y38" s="67"/>
      <c r="Z38" s="67"/>
      <c r="AA38" s="151"/>
    </row>
    <row r="39" spans="2:27" ht="15" customHeight="1">
      <c r="B39" s="166"/>
      <c r="C39" s="173"/>
      <c r="D39" s="443"/>
      <c r="E39" s="90"/>
      <c r="F39" s="90"/>
      <c r="G39" s="323" t="str">
        <f>E39&amp;" - "&amp;F39</f>
        <v xml:space="preserve"> - </v>
      </c>
      <c r="H39" s="67"/>
      <c r="I39" s="445"/>
      <c r="J39" s="375"/>
      <c r="K39" s="376"/>
      <c r="L39" s="323" t="str">
        <f t="shared" si="2"/>
        <v xml:space="preserve"> - </v>
      </c>
      <c r="M39" s="67"/>
      <c r="N39" s="67"/>
      <c r="O39" s="67"/>
      <c r="P39" s="67"/>
      <c r="Q39" s="67"/>
      <c r="R39" s="67"/>
      <c r="S39" s="67"/>
      <c r="T39" s="67"/>
      <c r="U39" s="67"/>
      <c r="V39" s="67"/>
      <c r="W39" s="67"/>
      <c r="X39" s="67"/>
      <c r="Y39" s="67"/>
      <c r="Z39" s="67"/>
      <c r="AA39" s="151"/>
    </row>
    <row r="40" spans="2:27" ht="15" customHeight="1">
      <c r="B40" s="166"/>
      <c r="C40" s="173"/>
      <c r="D40" s="443"/>
      <c r="E40" s="90"/>
      <c r="F40" s="90"/>
      <c r="G40" s="323" t="str">
        <f t="shared" si="0"/>
        <v xml:space="preserve"> - </v>
      </c>
      <c r="H40" s="67"/>
      <c r="I40" s="445"/>
      <c r="J40" s="375"/>
      <c r="K40" s="376"/>
      <c r="L40" s="323" t="str">
        <f t="shared" si="2"/>
        <v xml:space="preserve"> - </v>
      </c>
      <c r="M40" s="67"/>
      <c r="N40" s="67"/>
      <c r="O40" s="67"/>
      <c r="P40" s="67"/>
      <c r="Q40" s="67"/>
      <c r="R40" s="67"/>
      <c r="S40" s="67"/>
      <c r="T40" s="67"/>
      <c r="U40" s="67"/>
      <c r="V40" s="67"/>
      <c r="W40" s="67"/>
      <c r="X40" s="67"/>
      <c r="Y40" s="67"/>
      <c r="Z40" s="67"/>
      <c r="AA40" s="151"/>
    </row>
    <row r="41" spans="2:27" ht="15" customHeight="1">
      <c r="B41" s="166"/>
      <c r="C41" s="173"/>
      <c r="D41" s="443"/>
      <c r="E41" s="90"/>
      <c r="F41" s="90"/>
      <c r="G41" s="323" t="str">
        <f t="shared" si="0"/>
        <v xml:space="preserve"> - </v>
      </c>
      <c r="H41" s="67"/>
      <c r="I41" s="445"/>
      <c r="J41" s="375"/>
      <c r="K41" s="376"/>
      <c r="L41" s="323" t="str">
        <f t="shared" si="2"/>
        <v xml:space="preserve"> - </v>
      </c>
      <c r="M41" s="67"/>
      <c r="N41" s="67"/>
      <c r="O41" s="67"/>
      <c r="P41" s="67"/>
      <c r="Q41" s="67"/>
      <c r="R41" s="67"/>
      <c r="S41" s="67"/>
      <c r="T41" s="67"/>
      <c r="U41" s="67"/>
      <c r="V41" s="67"/>
      <c r="W41" s="67"/>
      <c r="X41" s="67"/>
      <c r="Y41" s="67"/>
      <c r="Z41" s="67"/>
      <c r="AA41" s="151"/>
    </row>
    <row r="42" spans="2:27" ht="15" customHeight="1">
      <c r="B42" s="166"/>
      <c r="C42" s="173"/>
      <c r="D42" s="443"/>
      <c r="E42" s="90"/>
      <c r="F42" s="90"/>
      <c r="G42" s="323" t="str">
        <f t="shared" si="0"/>
        <v xml:space="preserve"> - </v>
      </c>
      <c r="H42" s="67"/>
      <c r="I42" s="445"/>
      <c r="J42" s="375"/>
      <c r="K42" s="376"/>
      <c r="L42" s="323" t="str">
        <f t="shared" si="2"/>
        <v xml:space="preserve"> - </v>
      </c>
      <c r="M42" s="67"/>
      <c r="N42" s="67"/>
      <c r="O42" s="67"/>
      <c r="P42" s="67"/>
      <c r="Q42" s="67"/>
      <c r="R42" s="67"/>
      <c r="S42" s="67"/>
      <c r="T42" s="67"/>
      <c r="U42" s="67"/>
      <c r="V42" s="67"/>
      <c r="W42" s="67"/>
      <c r="X42" s="67"/>
      <c r="Y42" s="67"/>
      <c r="Z42" s="67"/>
      <c r="AA42" s="151"/>
    </row>
    <row r="43" spans="2:27" ht="15" customHeight="1">
      <c r="B43" s="166"/>
      <c r="C43" s="173"/>
      <c r="D43" s="443"/>
      <c r="E43" s="90"/>
      <c r="F43" s="90"/>
      <c r="G43" s="323" t="str">
        <f t="shared" si="0"/>
        <v xml:space="preserve"> - </v>
      </c>
      <c r="H43" s="67"/>
      <c r="I43" s="445"/>
      <c r="J43" s="375"/>
      <c r="K43" s="376"/>
      <c r="L43" s="323" t="str">
        <f t="shared" si="2"/>
        <v xml:space="preserve"> - </v>
      </c>
      <c r="M43" s="67"/>
      <c r="N43" s="67"/>
      <c r="O43" s="67"/>
      <c r="P43" s="67"/>
      <c r="Q43" s="67"/>
      <c r="R43" s="67"/>
      <c r="S43" s="67"/>
      <c r="T43" s="67"/>
      <c r="U43" s="67"/>
      <c r="V43" s="67"/>
      <c r="W43" s="67"/>
      <c r="X43" s="67"/>
      <c r="Y43" s="67"/>
      <c r="Z43" s="67"/>
      <c r="AA43" s="151"/>
    </row>
    <row r="44" spans="2:27" ht="15" customHeight="1">
      <c r="B44" s="166"/>
      <c r="C44" s="173"/>
      <c r="D44" s="443"/>
      <c r="E44" s="90"/>
      <c r="F44" s="90"/>
      <c r="G44" s="323" t="str">
        <f t="shared" si="0"/>
        <v xml:space="preserve"> - </v>
      </c>
      <c r="H44" s="67"/>
      <c r="I44" s="445"/>
      <c r="J44" s="375"/>
      <c r="K44" s="376"/>
      <c r="L44" s="323" t="str">
        <f t="shared" si="2"/>
        <v xml:space="preserve"> - </v>
      </c>
      <c r="M44" s="67"/>
      <c r="N44" s="67"/>
      <c r="O44" s="67"/>
      <c r="P44" s="67"/>
      <c r="Q44" s="67"/>
      <c r="R44" s="67"/>
      <c r="S44" s="67"/>
      <c r="T44" s="67"/>
      <c r="U44" s="67"/>
      <c r="V44" s="67"/>
      <c r="W44" s="67"/>
      <c r="X44" s="67"/>
      <c r="Y44" s="67"/>
      <c r="Z44" s="67"/>
      <c r="AA44" s="151"/>
    </row>
    <row r="45" spans="2:27" ht="15" customHeight="1">
      <c r="B45" s="166"/>
      <c r="C45" s="173"/>
      <c r="D45" s="443"/>
      <c r="E45" s="90"/>
      <c r="F45" s="90"/>
      <c r="G45" s="323" t="str">
        <f t="shared" si="0"/>
        <v xml:space="preserve"> - </v>
      </c>
      <c r="H45" s="67"/>
      <c r="I45" s="445"/>
      <c r="J45" s="375"/>
      <c r="K45" s="376"/>
      <c r="L45" s="323" t="str">
        <f t="shared" si="2"/>
        <v xml:space="preserve"> - </v>
      </c>
      <c r="M45" s="67"/>
      <c r="N45" s="67"/>
      <c r="O45" s="67"/>
      <c r="P45" s="67"/>
      <c r="Q45" s="67"/>
      <c r="R45" s="67"/>
      <c r="S45" s="67"/>
      <c r="T45" s="67"/>
      <c r="U45" s="67"/>
      <c r="V45" s="67"/>
      <c r="W45" s="67"/>
      <c r="X45" s="67"/>
      <c r="Y45" s="67"/>
      <c r="Z45" s="67"/>
      <c r="AA45" s="151"/>
    </row>
    <row r="46" spans="2:27" ht="15" customHeight="1">
      <c r="B46" s="166"/>
      <c r="C46" s="173"/>
      <c r="D46" s="443"/>
      <c r="E46" s="90"/>
      <c r="F46" s="90"/>
      <c r="G46" s="323" t="str">
        <f t="shared" si="0"/>
        <v xml:space="preserve"> - </v>
      </c>
      <c r="H46" s="67"/>
      <c r="I46" s="445"/>
      <c r="J46" s="375"/>
      <c r="K46" s="376"/>
      <c r="L46" s="323" t="str">
        <f t="shared" si="2"/>
        <v xml:space="preserve"> - </v>
      </c>
      <c r="M46" s="67"/>
      <c r="N46" s="67"/>
      <c r="O46" s="67"/>
      <c r="P46" s="67"/>
      <c r="Q46" s="67"/>
      <c r="R46" s="67"/>
      <c r="S46" s="67"/>
      <c r="T46" s="67"/>
      <c r="U46" s="67"/>
      <c r="V46" s="67"/>
      <c r="W46" s="67"/>
      <c r="X46" s="67"/>
      <c r="Y46" s="67"/>
      <c r="Z46" s="67"/>
      <c r="AA46" s="151"/>
    </row>
    <row r="47" spans="2:27" ht="15" customHeight="1">
      <c r="B47" s="166"/>
      <c r="C47" s="173"/>
      <c r="D47" s="443"/>
      <c r="E47" s="90"/>
      <c r="F47" s="90"/>
      <c r="G47" s="323" t="str">
        <f t="shared" si="0"/>
        <v xml:space="preserve"> - </v>
      </c>
      <c r="H47" s="67"/>
      <c r="I47" s="445"/>
      <c r="J47" s="375"/>
      <c r="K47" s="376"/>
      <c r="L47" s="323" t="str">
        <f t="shared" si="2"/>
        <v xml:space="preserve"> - </v>
      </c>
      <c r="M47" s="67"/>
      <c r="N47" s="67"/>
      <c r="O47" s="67"/>
      <c r="P47" s="67"/>
      <c r="Q47" s="67"/>
      <c r="R47" s="67"/>
      <c r="S47" s="67"/>
      <c r="T47" s="67"/>
      <c r="U47" s="67"/>
      <c r="V47" s="67"/>
      <c r="W47" s="67"/>
      <c r="X47" s="67"/>
      <c r="Y47" s="67"/>
      <c r="Z47" s="67"/>
      <c r="AA47" s="151"/>
    </row>
    <row r="48" spans="2:27" ht="15" customHeight="1">
      <c r="B48" s="166"/>
      <c r="C48" s="173"/>
      <c r="D48" s="443"/>
      <c r="E48" s="90"/>
      <c r="F48" s="90"/>
      <c r="G48" s="323" t="str">
        <f t="shared" si="0"/>
        <v xml:space="preserve"> - </v>
      </c>
      <c r="H48" s="67"/>
      <c r="I48" s="445"/>
      <c r="J48" s="375"/>
      <c r="K48" s="376"/>
      <c r="L48" s="323" t="str">
        <f t="shared" si="2"/>
        <v xml:space="preserve"> - </v>
      </c>
      <c r="M48" s="67"/>
      <c r="N48" s="67"/>
      <c r="O48" s="67"/>
      <c r="P48" s="67"/>
      <c r="Q48" s="67"/>
      <c r="R48" s="67"/>
      <c r="S48" s="67"/>
      <c r="T48" s="67"/>
      <c r="U48" s="67"/>
      <c r="V48" s="67"/>
      <c r="W48" s="67"/>
      <c r="X48" s="67"/>
      <c r="Y48" s="67"/>
      <c r="Z48" s="67"/>
      <c r="AA48" s="151"/>
    </row>
    <row r="49" spans="2:27" ht="15" customHeight="1">
      <c r="B49" s="166"/>
      <c r="C49" s="173"/>
      <c r="D49" s="443"/>
      <c r="E49" s="90"/>
      <c r="F49" s="90"/>
      <c r="G49" s="323" t="str">
        <f t="shared" si="0"/>
        <v xml:space="preserve"> - </v>
      </c>
      <c r="H49" s="67"/>
      <c r="I49" s="445"/>
      <c r="J49" s="375"/>
      <c r="K49" s="376"/>
      <c r="L49" s="323" t="str">
        <f t="shared" si="2"/>
        <v xml:space="preserve"> - </v>
      </c>
      <c r="M49" s="67"/>
      <c r="N49" s="67"/>
      <c r="O49" s="67"/>
      <c r="P49" s="67"/>
      <c r="Q49" s="67"/>
      <c r="R49" s="67"/>
      <c r="S49" s="67"/>
      <c r="T49" s="67"/>
      <c r="U49" s="67"/>
      <c r="V49" s="67"/>
      <c r="W49" s="67"/>
      <c r="X49" s="67"/>
      <c r="Y49" s="67"/>
      <c r="Z49" s="67"/>
      <c r="AA49" s="151"/>
    </row>
    <row r="50" spans="2:27" ht="15" customHeight="1">
      <c r="B50" s="166"/>
      <c r="C50" s="173"/>
      <c r="D50" s="443"/>
      <c r="E50" s="90"/>
      <c r="F50" s="90"/>
      <c r="G50" s="323" t="str">
        <f t="shared" si="0"/>
        <v xml:space="preserve"> - </v>
      </c>
      <c r="H50" s="67"/>
      <c r="I50" s="445"/>
      <c r="J50" s="375"/>
      <c r="K50" s="376"/>
      <c r="L50" s="323" t="str">
        <f t="shared" si="2"/>
        <v xml:space="preserve"> - </v>
      </c>
      <c r="M50" s="67"/>
      <c r="N50" s="67"/>
      <c r="O50" s="67"/>
      <c r="P50" s="67"/>
      <c r="Q50" s="67"/>
      <c r="R50" s="67"/>
      <c r="S50" s="67"/>
      <c r="T50" s="67"/>
      <c r="U50" s="67"/>
      <c r="V50" s="67"/>
      <c r="W50" s="67"/>
      <c r="X50" s="67"/>
      <c r="Y50" s="67"/>
      <c r="Z50" s="67"/>
      <c r="AA50" s="151"/>
    </row>
    <row r="51" spans="2:27" ht="15" customHeight="1">
      <c r="B51" s="166"/>
      <c r="C51" s="173"/>
      <c r="D51" s="443"/>
      <c r="E51" s="90"/>
      <c r="F51" s="90"/>
      <c r="G51" s="323" t="str">
        <f t="shared" si="0"/>
        <v xml:space="preserve"> - </v>
      </c>
      <c r="H51" s="67"/>
      <c r="I51" s="445"/>
      <c r="J51" s="375"/>
      <c r="K51" s="376"/>
      <c r="L51" s="323" t="str">
        <f t="shared" si="2"/>
        <v xml:space="preserve"> - </v>
      </c>
      <c r="M51" s="67"/>
      <c r="N51" s="67"/>
      <c r="O51" s="67"/>
      <c r="P51" s="67"/>
      <c r="Q51" s="67"/>
      <c r="R51" s="67"/>
      <c r="S51" s="67"/>
      <c r="T51" s="67"/>
      <c r="U51" s="67"/>
      <c r="V51" s="67"/>
      <c r="W51" s="67"/>
      <c r="X51" s="67"/>
      <c r="Y51" s="67"/>
      <c r="Z51" s="67"/>
      <c r="AA51" s="151"/>
    </row>
    <row r="52" spans="2:27" ht="15" customHeight="1">
      <c r="B52" s="166"/>
      <c r="C52" s="173"/>
      <c r="D52" s="443"/>
      <c r="E52" s="90"/>
      <c r="F52" s="90"/>
      <c r="G52" s="323" t="str">
        <f t="shared" si="0"/>
        <v xml:space="preserve"> - </v>
      </c>
      <c r="H52" s="67"/>
      <c r="I52" s="445"/>
      <c r="J52" s="375"/>
      <c r="K52" s="376"/>
      <c r="L52" s="323" t="str">
        <f t="shared" si="2"/>
        <v xml:space="preserve"> - </v>
      </c>
      <c r="M52" s="67"/>
      <c r="N52" s="67"/>
      <c r="O52" s="67"/>
      <c r="P52" s="67"/>
      <c r="Q52" s="67"/>
      <c r="R52" s="67"/>
      <c r="S52" s="67"/>
      <c r="T52" s="67"/>
      <c r="U52" s="67"/>
      <c r="V52" s="67"/>
      <c r="W52" s="67"/>
      <c r="X52" s="67"/>
      <c r="Y52" s="67"/>
      <c r="Z52" s="67"/>
      <c r="AA52" s="151"/>
    </row>
    <row r="53" spans="2:27" ht="15" customHeight="1">
      <c r="B53" s="166"/>
      <c r="C53" s="173"/>
      <c r="D53" s="443"/>
      <c r="E53" s="90"/>
      <c r="F53" s="90"/>
      <c r="G53" s="323" t="str">
        <f t="shared" si="0"/>
        <v xml:space="preserve"> - </v>
      </c>
      <c r="H53" s="67"/>
      <c r="I53" s="445"/>
      <c r="J53" s="375"/>
      <c r="K53" s="376"/>
      <c r="L53" s="323" t="str">
        <f t="shared" si="2"/>
        <v xml:space="preserve"> - </v>
      </c>
      <c r="M53" s="67"/>
      <c r="N53" s="67"/>
      <c r="O53" s="67"/>
      <c r="P53" s="67"/>
      <c r="Q53" s="67"/>
      <c r="R53" s="67"/>
      <c r="S53" s="67"/>
      <c r="T53" s="67"/>
      <c r="U53" s="67"/>
      <c r="V53" s="67"/>
      <c r="W53" s="67"/>
      <c r="X53" s="67"/>
      <c r="Y53" s="67"/>
      <c r="Z53" s="67"/>
      <c r="AA53" s="151"/>
    </row>
    <row r="54" spans="2:27" ht="15" customHeight="1">
      <c r="B54" s="166"/>
      <c r="C54" s="173"/>
      <c r="D54" s="443"/>
      <c r="E54" s="90"/>
      <c r="F54" s="90"/>
      <c r="G54" s="323" t="str">
        <f t="shared" si="0"/>
        <v xml:space="preserve"> - </v>
      </c>
      <c r="H54" s="67"/>
      <c r="I54" s="445"/>
      <c r="J54" s="375"/>
      <c r="K54" s="376"/>
      <c r="L54" s="323" t="str">
        <f t="shared" si="2"/>
        <v xml:space="preserve"> - </v>
      </c>
      <c r="M54" s="67"/>
      <c r="N54" s="67"/>
      <c r="O54" s="67"/>
      <c r="P54" s="67"/>
      <c r="Q54" s="67"/>
      <c r="R54" s="67"/>
      <c r="S54" s="67"/>
      <c r="T54" s="67"/>
      <c r="U54" s="67"/>
      <c r="V54" s="67"/>
      <c r="W54" s="67"/>
      <c r="X54" s="67"/>
      <c r="Y54" s="67"/>
      <c r="Z54" s="67"/>
      <c r="AA54" s="151"/>
    </row>
    <row r="55" spans="2:27" ht="15" customHeight="1">
      <c r="B55" s="166"/>
      <c r="C55" s="173"/>
      <c r="D55" s="443"/>
      <c r="E55" s="90"/>
      <c r="F55" s="90"/>
      <c r="G55" s="323" t="str">
        <f t="shared" si="0"/>
        <v xml:space="preserve"> - </v>
      </c>
      <c r="H55" s="67"/>
      <c r="I55" s="445"/>
      <c r="J55" s="375"/>
      <c r="K55" s="376"/>
      <c r="L55" s="323" t="str">
        <f t="shared" si="2"/>
        <v xml:space="preserve"> - </v>
      </c>
      <c r="M55" s="67"/>
      <c r="N55" s="67"/>
      <c r="O55" s="67"/>
      <c r="P55" s="67"/>
      <c r="Q55" s="67"/>
      <c r="R55" s="67"/>
      <c r="S55" s="67"/>
      <c r="T55" s="67"/>
      <c r="U55" s="67"/>
      <c r="V55" s="67"/>
      <c r="W55" s="67"/>
      <c r="X55" s="67"/>
      <c r="Y55" s="67"/>
      <c r="Z55" s="67"/>
      <c r="AA55" s="151"/>
    </row>
    <row r="56" spans="2:27" ht="15" customHeight="1">
      <c r="B56" s="166"/>
      <c r="C56" s="173"/>
      <c r="D56" s="443"/>
      <c r="E56" s="90"/>
      <c r="F56" s="90"/>
      <c r="G56" s="323" t="str">
        <f t="shared" si="0"/>
        <v xml:space="preserve"> - </v>
      </c>
      <c r="H56" s="67"/>
      <c r="I56" s="445"/>
      <c r="J56" s="375"/>
      <c r="K56" s="376"/>
      <c r="L56" s="323" t="str">
        <f t="shared" si="2"/>
        <v xml:space="preserve"> - </v>
      </c>
      <c r="M56" s="67"/>
      <c r="N56" s="67"/>
      <c r="O56" s="67"/>
      <c r="P56" s="67"/>
      <c r="Q56" s="67"/>
      <c r="R56" s="67"/>
      <c r="S56" s="67"/>
      <c r="T56" s="67"/>
      <c r="U56" s="67"/>
      <c r="V56" s="67"/>
      <c r="W56" s="67"/>
      <c r="X56" s="67"/>
      <c r="Y56" s="67"/>
      <c r="Z56" s="67"/>
      <c r="AA56" s="151"/>
    </row>
    <row r="57" spans="2:27" ht="15" customHeight="1">
      <c r="B57" s="166"/>
      <c r="C57" s="173"/>
      <c r="D57" s="443"/>
      <c r="E57" s="90"/>
      <c r="F57" s="90"/>
      <c r="G57" s="323" t="str">
        <f t="shared" si="0"/>
        <v xml:space="preserve"> - </v>
      </c>
      <c r="H57" s="67"/>
      <c r="I57" s="445"/>
      <c r="J57" s="375"/>
      <c r="K57" s="376"/>
      <c r="L57" s="323" t="str">
        <f t="shared" si="2"/>
        <v xml:space="preserve"> - </v>
      </c>
      <c r="M57" s="67"/>
      <c r="N57" s="67"/>
      <c r="O57" s="67"/>
      <c r="P57" s="67"/>
      <c r="Q57" s="67"/>
      <c r="R57" s="67"/>
      <c r="S57" s="67"/>
      <c r="T57" s="67"/>
      <c r="U57" s="67"/>
      <c r="V57" s="67"/>
      <c r="W57" s="67"/>
      <c r="X57" s="67"/>
      <c r="Y57" s="67"/>
      <c r="Z57" s="67"/>
      <c r="AA57" s="151"/>
    </row>
    <row r="58" spans="2:27" ht="15" customHeight="1">
      <c r="B58" s="166"/>
      <c r="C58" s="173"/>
      <c r="D58" s="444"/>
      <c r="E58" s="90"/>
      <c r="F58" s="90"/>
      <c r="G58" s="323" t="str">
        <f t="shared" si="0"/>
        <v xml:space="preserve"> - </v>
      </c>
      <c r="H58" s="67"/>
      <c r="I58" s="445"/>
      <c r="J58" s="375"/>
      <c r="K58" s="376"/>
      <c r="L58" s="323" t="str">
        <f t="shared" si="2"/>
        <v xml:space="preserve"> - </v>
      </c>
      <c r="M58" s="67"/>
      <c r="N58" s="67"/>
      <c r="O58" s="67"/>
      <c r="P58" s="67"/>
      <c r="Q58" s="67"/>
      <c r="R58" s="67"/>
      <c r="S58" s="67"/>
      <c r="T58" s="67"/>
      <c r="U58" s="67"/>
      <c r="V58" s="67"/>
      <c r="W58" s="67"/>
      <c r="X58" s="67"/>
      <c r="Y58" s="67"/>
      <c r="Z58" s="67"/>
      <c r="AA58" s="151"/>
    </row>
    <row r="59" spans="2:27" ht="15" customHeight="1">
      <c r="B59" s="166"/>
      <c r="C59" s="173"/>
      <c r="D59" s="91"/>
      <c r="H59" s="67"/>
      <c r="I59" s="67"/>
      <c r="J59" s="67"/>
      <c r="K59" s="67"/>
      <c r="L59" s="67"/>
      <c r="M59" s="67"/>
      <c r="N59" s="67"/>
      <c r="O59" s="67"/>
      <c r="P59" s="67"/>
      <c r="Q59" s="67"/>
      <c r="R59" s="67"/>
      <c r="S59" s="67"/>
      <c r="T59" s="67"/>
      <c r="U59" s="67"/>
      <c r="V59" s="67"/>
      <c r="W59" s="67"/>
      <c r="X59" s="67"/>
      <c r="Y59" s="67"/>
      <c r="Z59" s="67"/>
      <c r="AA59" s="151"/>
    </row>
    <row r="60" spans="2:27" ht="14.25" customHeight="1">
      <c r="B60" s="166"/>
      <c r="C60" s="173"/>
      <c r="D60" s="92" t="str">
        <f>IF($A$2="English",_xlfn.XLOOKUP(A27,Descriptions!$A:$A,Descriptions!$B:$B),_xlfn.XLOOKUP(A10,Descriptions!$A:$A,Descriptions!$C:$C))</f>
        <v>Fasilitetur/ogn og staðseting</v>
      </c>
      <c r="E60" s="93"/>
      <c r="F60" s="93"/>
      <c r="G60" s="93"/>
      <c r="H60" s="67"/>
      <c r="I60" s="67"/>
      <c r="J60" s="67"/>
      <c r="K60" s="67"/>
      <c r="L60" s="67"/>
      <c r="M60" s="67"/>
      <c r="N60" s="67"/>
      <c r="O60" s="67"/>
      <c r="P60" s="67"/>
      <c r="Q60" s="67"/>
      <c r="R60" s="67"/>
      <c r="S60" s="67"/>
      <c r="T60" s="67"/>
      <c r="U60" s="67"/>
      <c r="V60" s="67"/>
      <c r="W60" s="67"/>
      <c r="X60" s="67"/>
      <c r="Y60" s="67"/>
      <c r="Z60" s="67"/>
      <c r="AA60" s="151"/>
    </row>
    <row r="61" spans="2:27" ht="14.25" customHeight="1">
      <c r="B61" s="166"/>
      <c r="C61" s="173"/>
      <c r="D61" s="439" t="str">
        <f>I61</f>
        <v>Aðrar viðmerkingar</v>
      </c>
      <c r="E61" s="440"/>
      <c r="F61" s="440"/>
      <c r="G61" s="440"/>
      <c r="H61" s="67"/>
      <c r="I61" s="441" t="str">
        <f>IF($A$2="English",_xlfn.XLOOKUP(A24,Descriptions!$A:$A,Descriptions!$B:$B),_xlfn.XLOOKUP(A24,Descriptions!$A:$A,Descriptions!$C:$C))</f>
        <v>Aðrar viðmerkingar</v>
      </c>
      <c r="J61" s="442" t="str">
        <f>IF($A$2="English",_xlfn.XLOOKUP(A25,Descriptions!$A:$A,Descriptions!$B:$B),_xlfn.XLOOKUP(A25,Descriptions!$A:$A,Descriptions!$C:$C))</f>
        <v>Útlátsútrokning fyri 'Føroya Besta Fyritøka'. Ársfrágreiðing fyri 2023
Av tí at vit ikki høvdu tøkar dátur, vóru metingar um starvsfólkatal gjørdar fyri starvfólkaflutning. Hesar dátur vóru ikki tøkar.
Somuleiðis vantar okkum dátur um arbeiðsferðing fyri 3 mánaðir. Metingar av hesum dátum eru grundaðar á miðal arbeiðsferðing um mánaðin ársins fyrstu 9 mánaðir. Leitað verður eftir hesum dátum í løtuni og tølini í CO2-roknaranun verða dagførd, tá ið dáturnar eru tøkar.</v>
      </c>
      <c r="K61" s="442"/>
      <c r="L61" s="442"/>
      <c r="M61" s="67"/>
      <c r="N61" s="67"/>
      <c r="O61" s="67"/>
      <c r="P61" s="67"/>
      <c r="Q61" s="67"/>
      <c r="R61" s="67"/>
      <c r="S61" s="67"/>
      <c r="T61" s="67"/>
      <c r="U61" s="67"/>
      <c r="V61" s="67"/>
      <c r="W61" s="67"/>
      <c r="X61" s="67"/>
      <c r="Y61" s="67"/>
      <c r="Z61" s="67"/>
      <c r="AA61" s="151"/>
    </row>
    <row r="62" spans="2:27" ht="15" customHeight="1">
      <c r="B62" s="166"/>
      <c r="C62" s="173"/>
      <c r="D62" s="439"/>
      <c r="E62" s="440"/>
      <c r="F62" s="440"/>
      <c r="G62" s="440"/>
      <c r="H62" s="67"/>
      <c r="I62" s="441"/>
      <c r="J62" s="442"/>
      <c r="K62" s="442"/>
      <c r="L62" s="442"/>
      <c r="M62" s="67"/>
      <c r="N62" s="67"/>
      <c r="O62" s="67"/>
      <c r="P62" s="67"/>
      <c r="Q62" s="67"/>
      <c r="R62" s="67"/>
      <c r="S62" s="67"/>
      <c r="T62" s="67"/>
      <c r="U62" s="67"/>
      <c r="V62" s="67"/>
      <c r="W62" s="67"/>
      <c r="X62" s="67"/>
      <c r="Y62" s="67"/>
      <c r="Z62" s="67"/>
      <c r="AA62" s="151"/>
    </row>
    <row r="63" spans="2:27" ht="14.25" customHeight="1">
      <c r="B63" s="166"/>
      <c r="C63" s="173"/>
      <c r="D63" s="439"/>
      <c r="E63" s="440"/>
      <c r="F63" s="440"/>
      <c r="G63" s="440"/>
      <c r="H63" s="67"/>
      <c r="I63" s="441"/>
      <c r="J63" s="442"/>
      <c r="K63" s="442"/>
      <c r="L63" s="442"/>
      <c r="M63" s="67"/>
      <c r="N63" s="67"/>
      <c r="O63" s="67"/>
      <c r="P63" s="67"/>
      <c r="Q63" s="67"/>
      <c r="R63" s="67"/>
      <c r="S63" s="67"/>
      <c r="T63" s="67"/>
      <c r="U63" s="67"/>
      <c r="V63" s="67"/>
      <c r="W63" s="67"/>
      <c r="X63" s="67"/>
      <c r="Y63" s="67"/>
      <c r="Z63" s="67"/>
      <c r="AA63" s="151"/>
    </row>
    <row r="64" spans="2:27" ht="15" customHeight="1">
      <c r="B64" s="166"/>
      <c r="C64" s="173"/>
      <c r="D64" s="439"/>
      <c r="E64" s="440"/>
      <c r="F64" s="440"/>
      <c r="G64" s="440"/>
      <c r="H64" s="67"/>
      <c r="I64" s="441"/>
      <c r="J64" s="442"/>
      <c r="K64" s="442"/>
      <c r="L64" s="442"/>
      <c r="M64" s="67"/>
      <c r="N64" s="67"/>
      <c r="O64" s="67"/>
      <c r="P64" s="67"/>
      <c r="Q64" s="67"/>
      <c r="R64" s="67"/>
      <c r="S64" s="67"/>
      <c r="T64" s="67"/>
      <c r="U64" s="67"/>
      <c r="V64" s="67"/>
      <c r="W64" s="67"/>
      <c r="X64" s="67"/>
      <c r="Y64" s="67"/>
      <c r="Z64" s="67"/>
      <c r="AA64" s="151"/>
    </row>
    <row r="65" spans="2:27" ht="14.25" customHeight="1">
      <c r="B65" s="166"/>
      <c r="C65" s="173"/>
      <c r="D65" s="439"/>
      <c r="E65" s="440"/>
      <c r="F65" s="440"/>
      <c r="G65" s="440"/>
      <c r="H65" s="67"/>
      <c r="I65" s="441"/>
      <c r="J65" s="442"/>
      <c r="K65" s="442"/>
      <c r="L65" s="442"/>
      <c r="M65" s="67"/>
      <c r="N65" s="67"/>
      <c r="O65" s="67"/>
      <c r="P65" s="67"/>
      <c r="Q65" s="67"/>
      <c r="R65" s="67"/>
      <c r="S65" s="67"/>
      <c r="T65" s="67"/>
      <c r="U65" s="67"/>
      <c r="V65" s="67"/>
      <c r="W65" s="67"/>
      <c r="X65" s="67"/>
      <c r="Y65" s="67"/>
      <c r="Z65" s="67"/>
      <c r="AA65" s="151"/>
    </row>
    <row r="66" spans="2:27" ht="14.25" customHeight="1">
      <c r="B66" s="166"/>
      <c r="C66" s="173"/>
      <c r="D66" s="439"/>
      <c r="E66" s="440"/>
      <c r="F66" s="440"/>
      <c r="G66" s="440"/>
      <c r="H66" s="67"/>
      <c r="I66" s="441"/>
      <c r="J66" s="442"/>
      <c r="K66" s="442"/>
      <c r="L66" s="442"/>
      <c r="M66" s="67"/>
      <c r="N66" s="67"/>
      <c r="O66" s="67"/>
      <c r="P66" s="67"/>
      <c r="Q66" s="67"/>
      <c r="R66" s="67"/>
      <c r="S66" s="67"/>
      <c r="T66" s="67"/>
      <c r="U66" s="67"/>
      <c r="V66" s="67"/>
      <c r="W66" s="67"/>
      <c r="X66" s="67"/>
      <c r="Y66" s="67"/>
      <c r="Z66" s="67"/>
      <c r="AA66" s="151"/>
    </row>
    <row r="67" spans="2:27">
      <c r="B67" s="166"/>
      <c r="C67" s="173"/>
      <c r="D67" s="439"/>
      <c r="E67" s="440"/>
      <c r="F67" s="440"/>
      <c r="G67" s="440"/>
      <c r="H67" s="67"/>
      <c r="I67" s="441"/>
      <c r="J67" s="442"/>
      <c r="K67" s="442"/>
      <c r="L67" s="442"/>
      <c r="M67" s="67"/>
      <c r="N67" s="67"/>
      <c r="O67" s="67"/>
      <c r="P67" s="67"/>
      <c r="Q67" s="67"/>
      <c r="R67" s="67"/>
      <c r="S67" s="67"/>
      <c r="T67" s="67"/>
      <c r="U67" s="67"/>
      <c r="V67" s="67"/>
      <c r="W67" s="67"/>
      <c r="X67" s="67"/>
      <c r="Y67" s="67"/>
      <c r="Z67" s="67"/>
      <c r="AA67" s="151"/>
    </row>
    <row r="68" spans="2:27">
      <c r="B68" s="166"/>
      <c r="C68" s="173"/>
      <c r="D68" s="439"/>
      <c r="E68" s="440"/>
      <c r="F68" s="440"/>
      <c r="G68" s="440"/>
      <c r="H68" s="67"/>
      <c r="I68" s="441"/>
      <c r="J68" s="442"/>
      <c r="K68" s="442"/>
      <c r="L68" s="442"/>
      <c r="M68" s="67"/>
      <c r="N68" s="67"/>
      <c r="O68" s="67"/>
      <c r="P68" s="67"/>
      <c r="Q68" s="67"/>
      <c r="R68" s="67"/>
      <c r="S68" s="67"/>
      <c r="T68" s="67"/>
      <c r="U68" s="67"/>
      <c r="V68" s="67"/>
      <c r="W68" s="67"/>
      <c r="X68" s="67"/>
      <c r="Y68" s="67"/>
      <c r="Z68" s="67"/>
      <c r="AA68" s="151"/>
    </row>
    <row r="69" spans="2:27">
      <c r="B69" s="166"/>
      <c r="C69" s="173"/>
      <c r="D69" s="439"/>
      <c r="E69" s="440"/>
      <c r="F69" s="440"/>
      <c r="G69" s="440"/>
      <c r="H69" s="67"/>
      <c r="I69" s="441"/>
      <c r="J69" s="442"/>
      <c r="K69" s="442"/>
      <c r="L69" s="442"/>
      <c r="M69" s="67"/>
      <c r="N69" s="67"/>
      <c r="O69" s="67"/>
      <c r="P69" s="67"/>
      <c r="Q69" s="67"/>
      <c r="R69" s="67"/>
      <c r="S69" s="67"/>
      <c r="T69" s="67"/>
      <c r="U69" s="67"/>
      <c r="V69" s="67"/>
      <c r="W69" s="67"/>
      <c r="X69" s="67"/>
      <c r="Y69" s="67"/>
      <c r="Z69" s="67"/>
      <c r="AA69" s="151"/>
    </row>
    <row r="70" spans="2:27">
      <c r="B70" s="166"/>
      <c r="C70" s="173"/>
      <c r="D70" s="439"/>
      <c r="E70" s="440"/>
      <c r="F70" s="440"/>
      <c r="G70" s="440"/>
      <c r="H70" s="67"/>
      <c r="I70" s="441"/>
      <c r="J70" s="442"/>
      <c r="K70" s="442"/>
      <c r="L70" s="442"/>
      <c r="M70" s="67"/>
      <c r="N70" s="67"/>
      <c r="O70" s="67"/>
      <c r="P70" s="67"/>
      <c r="Q70" s="67"/>
      <c r="R70" s="67"/>
      <c r="S70" s="67"/>
      <c r="T70" s="67"/>
      <c r="U70" s="67"/>
      <c r="V70" s="67"/>
      <c r="W70" s="67"/>
      <c r="X70" s="67"/>
      <c r="Y70" s="67"/>
      <c r="Z70" s="67"/>
      <c r="AA70" s="151"/>
    </row>
    <row r="71" spans="2:27">
      <c r="B71" s="166"/>
      <c r="C71" s="173"/>
      <c r="D71" s="439"/>
      <c r="E71" s="440"/>
      <c r="F71" s="440"/>
      <c r="G71" s="440"/>
      <c r="H71" s="67"/>
      <c r="I71" s="441"/>
      <c r="J71" s="442"/>
      <c r="K71" s="442"/>
      <c r="L71" s="442"/>
      <c r="M71" s="67"/>
      <c r="N71" s="67"/>
      <c r="O71" s="67"/>
      <c r="P71" s="67"/>
      <c r="Q71" s="67"/>
      <c r="R71" s="67"/>
      <c r="S71" s="67"/>
      <c r="T71" s="67"/>
      <c r="U71" s="67"/>
      <c r="V71" s="67"/>
      <c r="W71" s="67"/>
      <c r="X71" s="67"/>
      <c r="Y71" s="67"/>
      <c r="Z71" s="67"/>
      <c r="AA71" s="151"/>
    </row>
    <row r="72" spans="2:27">
      <c r="B72" s="166"/>
      <c r="C72" s="173"/>
      <c r="D72" s="439"/>
      <c r="E72" s="440"/>
      <c r="F72" s="440"/>
      <c r="G72" s="440"/>
      <c r="H72" s="67"/>
      <c r="I72" s="441"/>
      <c r="J72" s="442"/>
      <c r="K72" s="442"/>
      <c r="L72" s="442"/>
      <c r="M72" s="67"/>
      <c r="N72" s="67"/>
      <c r="O72" s="67"/>
      <c r="P72" s="67"/>
      <c r="Q72" s="67"/>
      <c r="R72" s="67"/>
      <c r="S72" s="67"/>
      <c r="T72" s="67"/>
      <c r="U72" s="67"/>
      <c r="V72" s="67"/>
      <c r="W72" s="67"/>
      <c r="X72" s="67"/>
      <c r="Y72" s="67"/>
      <c r="Z72" s="67"/>
      <c r="AA72" s="151"/>
    </row>
    <row r="73" spans="2:27">
      <c r="B73" s="166"/>
      <c r="C73" s="173"/>
      <c r="D73" s="439"/>
      <c r="E73" s="440"/>
      <c r="F73" s="440"/>
      <c r="G73" s="440"/>
      <c r="H73" s="67"/>
      <c r="I73" s="441"/>
      <c r="J73" s="442"/>
      <c r="K73" s="442"/>
      <c r="L73" s="442"/>
      <c r="M73" s="67"/>
      <c r="N73" s="67"/>
      <c r="O73" s="67"/>
      <c r="P73" s="67"/>
      <c r="Q73" s="67"/>
      <c r="R73" s="67"/>
      <c r="S73" s="67"/>
      <c r="T73" s="67"/>
      <c r="U73" s="67"/>
      <c r="V73" s="67"/>
      <c r="W73" s="67"/>
      <c r="X73" s="67"/>
      <c r="Y73" s="67"/>
      <c r="Z73" s="67"/>
      <c r="AA73" s="151"/>
    </row>
    <row r="74" spans="2:27">
      <c r="B74" s="166"/>
      <c r="C74" s="173"/>
      <c r="D74" s="439"/>
      <c r="E74" s="440"/>
      <c r="F74" s="440"/>
      <c r="G74" s="440"/>
      <c r="H74" s="67"/>
      <c r="I74" s="441"/>
      <c r="J74" s="442"/>
      <c r="K74" s="442"/>
      <c r="L74" s="442"/>
      <c r="M74" s="67"/>
      <c r="N74" s="67"/>
      <c r="O74" s="67"/>
      <c r="P74" s="67"/>
      <c r="Q74" s="67"/>
      <c r="R74" s="67"/>
      <c r="S74" s="67"/>
      <c r="T74" s="67"/>
      <c r="U74" s="67"/>
      <c r="V74" s="67"/>
      <c r="W74" s="67"/>
      <c r="X74" s="67"/>
      <c r="Y74" s="67"/>
      <c r="Z74" s="67"/>
      <c r="AA74" s="151"/>
    </row>
    <row r="75" spans="2:27">
      <c r="B75" s="166"/>
      <c r="C75" s="173"/>
      <c r="H75" s="67"/>
      <c r="I75" s="67"/>
      <c r="J75" s="67"/>
      <c r="K75" s="67"/>
      <c r="L75" s="67"/>
      <c r="M75" s="67"/>
      <c r="N75" s="67"/>
      <c r="O75" s="67"/>
      <c r="P75" s="67"/>
      <c r="Q75" s="67"/>
      <c r="R75" s="67"/>
      <c r="S75" s="67"/>
      <c r="T75" s="67"/>
      <c r="U75" s="67"/>
      <c r="V75" s="67"/>
      <c r="W75" s="67"/>
      <c r="X75" s="67"/>
      <c r="Y75" s="67"/>
      <c r="Z75" s="67"/>
      <c r="AA75" s="151"/>
    </row>
    <row r="76" spans="2:27">
      <c r="B76" s="166"/>
      <c r="C76" s="173"/>
      <c r="H76" s="67"/>
      <c r="I76" s="67"/>
      <c r="J76" s="67"/>
      <c r="K76" s="67"/>
      <c r="L76" s="67"/>
      <c r="M76" s="67"/>
      <c r="N76" s="67"/>
      <c r="O76" s="67"/>
      <c r="P76" s="67"/>
      <c r="Q76" s="67"/>
      <c r="R76" s="67"/>
      <c r="S76" s="67"/>
      <c r="T76" s="67"/>
      <c r="U76" s="67"/>
      <c r="V76" s="67"/>
      <c r="W76" s="67"/>
      <c r="X76" s="67"/>
      <c r="Y76" s="67"/>
      <c r="Z76" s="67"/>
      <c r="AA76" s="151"/>
    </row>
    <row r="77" spans="2:27">
      <c r="B77" s="166"/>
      <c r="C77" s="173"/>
      <c r="H77" s="67"/>
      <c r="I77" s="67"/>
      <c r="J77" s="67"/>
      <c r="K77" s="67"/>
      <c r="L77" s="67"/>
      <c r="M77" s="67"/>
      <c r="N77" s="67"/>
      <c r="O77" s="67"/>
      <c r="P77" s="67"/>
      <c r="Q77" s="67"/>
      <c r="R77" s="67"/>
      <c r="S77" s="67"/>
      <c r="T77" s="67"/>
      <c r="U77" s="67"/>
      <c r="V77" s="67"/>
      <c r="W77" s="67"/>
      <c r="X77" s="67"/>
      <c r="Y77" s="67"/>
      <c r="Z77" s="67"/>
      <c r="AA77" s="151"/>
    </row>
    <row r="78" spans="2:27">
      <c r="B78" s="166"/>
      <c r="C78" s="173"/>
      <c r="H78" s="67"/>
      <c r="I78" s="67"/>
      <c r="J78" s="67"/>
      <c r="K78" s="67"/>
      <c r="L78" s="67"/>
      <c r="M78" s="67"/>
      <c r="N78" s="67"/>
      <c r="O78" s="67"/>
      <c r="P78" s="67"/>
      <c r="Q78" s="67"/>
      <c r="R78" s="67"/>
      <c r="S78" s="67"/>
      <c r="T78" s="67"/>
      <c r="U78" s="67"/>
      <c r="V78" s="67"/>
      <c r="W78" s="67"/>
      <c r="X78" s="67"/>
      <c r="Y78" s="67"/>
      <c r="Z78" s="67"/>
      <c r="AA78" s="151"/>
    </row>
    <row r="79" spans="2:27" ht="14.1" hidden="1" customHeight="1">
      <c r="B79" s="166"/>
      <c r="C79" s="173"/>
      <c r="H79" s="67"/>
      <c r="I79" s="67"/>
      <c r="J79" s="67"/>
      <c r="K79" s="67"/>
      <c r="L79" s="67"/>
      <c r="M79" s="67"/>
      <c r="N79" s="67"/>
      <c r="O79" s="67"/>
      <c r="P79" s="67"/>
      <c r="Q79" s="67"/>
      <c r="R79" s="67"/>
      <c r="S79" s="67"/>
      <c r="T79" s="67"/>
      <c r="U79" s="67"/>
      <c r="V79" s="67"/>
      <c r="W79" s="67"/>
      <c r="X79" s="67"/>
      <c r="Y79" s="67"/>
      <c r="Z79" s="67"/>
      <c r="AA79" s="151"/>
    </row>
    <row r="80" spans="2:27" ht="14.1" hidden="1" customHeight="1">
      <c r="B80" s="166"/>
      <c r="C80" s="173"/>
      <c r="H80" s="67"/>
      <c r="I80" s="67"/>
      <c r="J80" s="67"/>
      <c r="K80" s="67"/>
      <c r="L80" s="67"/>
      <c r="M80" s="67"/>
      <c r="N80" s="67"/>
      <c r="O80" s="67"/>
      <c r="P80" s="67"/>
      <c r="Q80" s="67"/>
      <c r="R80" s="67"/>
      <c r="S80" s="67"/>
      <c r="T80" s="67"/>
      <c r="U80" s="67"/>
      <c r="V80" s="67"/>
      <c r="W80" s="67"/>
      <c r="X80" s="67"/>
      <c r="Y80" s="67"/>
      <c r="Z80" s="67"/>
      <c r="AA80" s="151"/>
    </row>
    <row r="81" spans="2:27" ht="14.1" hidden="1" customHeight="1">
      <c r="B81" s="166"/>
      <c r="C81" s="173"/>
      <c r="H81" s="67"/>
      <c r="I81" s="67"/>
      <c r="J81" s="67"/>
      <c r="K81" s="67"/>
      <c r="L81" s="67"/>
      <c r="M81" s="67"/>
      <c r="N81" s="67"/>
      <c r="O81" s="67"/>
      <c r="P81" s="67"/>
      <c r="Q81" s="67"/>
      <c r="R81" s="67"/>
      <c r="S81" s="67"/>
      <c r="T81" s="67"/>
      <c r="U81" s="67"/>
      <c r="V81" s="67"/>
      <c r="W81" s="67"/>
      <c r="X81" s="67"/>
      <c r="Y81" s="67"/>
      <c r="Z81" s="67"/>
      <c r="AA81" s="151"/>
    </row>
    <row r="82" spans="2:27" hidden="1">
      <c r="B82" s="166"/>
      <c r="C82" s="173"/>
      <c r="H82" s="67"/>
      <c r="I82" s="67"/>
      <c r="J82" s="67"/>
      <c r="K82" s="67"/>
      <c r="L82" s="67"/>
      <c r="M82" s="67"/>
      <c r="N82" s="67"/>
      <c r="O82" s="67"/>
      <c r="P82" s="67"/>
      <c r="Q82" s="67"/>
      <c r="R82" s="67"/>
      <c r="S82" s="67"/>
      <c r="T82" s="67"/>
      <c r="U82" s="67"/>
      <c r="V82" s="67"/>
      <c r="W82" s="67"/>
      <c r="X82" s="67"/>
      <c r="Y82" s="67"/>
      <c r="Z82" s="67"/>
      <c r="AA82" s="151"/>
    </row>
    <row r="83" spans="2:27" hidden="1">
      <c r="B83" s="166"/>
      <c r="C83" s="173"/>
      <c r="H83" s="67"/>
      <c r="I83" s="67"/>
      <c r="J83" s="67"/>
      <c r="K83" s="67"/>
      <c r="L83" s="67"/>
      <c r="M83" s="67"/>
      <c r="N83" s="67"/>
      <c r="O83" s="67"/>
      <c r="P83" s="67"/>
      <c r="Q83" s="67"/>
      <c r="R83" s="67"/>
      <c r="S83" s="67"/>
      <c r="T83" s="67"/>
      <c r="U83" s="67"/>
      <c r="V83" s="67"/>
      <c r="W83" s="67"/>
      <c r="X83" s="67"/>
      <c r="Y83" s="67"/>
      <c r="Z83" s="67"/>
      <c r="AA83" s="151"/>
    </row>
    <row r="84" spans="2:27" hidden="1">
      <c r="B84" s="166"/>
      <c r="C84" s="173"/>
      <c r="H84" s="67"/>
      <c r="I84" s="67"/>
      <c r="J84" s="67"/>
      <c r="K84" s="67"/>
      <c r="L84" s="67"/>
      <c r="M84" s="67"/>
      <c r="N84" s="67"/>
      <c r="O84" s="67"/>
      <c r="P84" s="67"/>
      <c r="Q84" s="67"/>
      <c r="R84" s="67"/>
      <c r="S84" s="67"/>
      <c r="T84" s="67"/>
      <c r="U84" s="67"/>
      <c r="V84" s="67"/>
      <c r="W84" s="67"/>
      <c r="X84" s="67"/>
      <c r="Y84" s="67"/>
      <c r="Z84" s="67"/>
      <c r="AA84" s="151"/>
    </row>
    <row r="85" spans="2:27" hidden="1">
      <c r="B85" s="166"/>
      <c r="C85" s="173"/>
      <c r="H85" s="67"/>
      <c r="I85" s="67"/>
      <c r="J85" s="67"/>
      <c r="K85" s="67"/>
      <c r="L85" s="67"/>
      <c r="M85" s="67"/>
      <c r="N85" s="67"/>
      <c r="O85" s="67"/>
      <c r="P85" s="67"/>
      <c r="Q85" s="67"/>
      <c r="R85" s="67"/>
      <c r="S85" s="67"/>
      <c r="T85" s="67"/>
      <c r="U85" s="67"/>
      <c r="V85" s="67"/>
      <c r="W85" s="67"/>
      <c r="X85" s="67"/>
      <c r="Y85" s="67"/>
      <c r="Z85" s="67"/>
      <c r="AA85" s="151"/>
    </row>
    <row r="86" spans="2:27" hidden="1">
      <c r="B86" s="166"/>
      <c r="C86" s="173"/>
      <c r="H86" s="67"/>
      <c r="I86" s="67"/>
      <c r="J86" s="67"/>
      <c r="K86" s="67"/>
      <c r="L86" s="67"/>
      <c r="M86" s="67"/>
      <c r="N86" s="67"/>
      <c r="O86" s="67"/>
      <c r="P86" s="67"/>
      <c r="Q86" s="67"/>
      <c r="R86" s="67"/>
      <c r="S86" s="67"/>
      <c r="T86" s="67"/>
      <c r="U86" s="67"/>
      <c r="V86" s="67"/>
      <c r="W86" s="67"/>
      <c r="X86" s="67"/>
      <c r="Y86" s="67"/>
      <c r="Z86" s="67"/>
      <c r="AA86" s="151"/>
    </row>
    <row r="87" spans="2:27" hidden="1">
      <c r="B87" s="166"/>
      <c r="C87" s="173"/>
      <c r="H87" s="67"/>
      <c r="I87" s="67"/>
      <c r="J87" s="67"/>
      <c r="K87" s="67"/>
      <c r="L87" s="67"/>
      <c r="M87" s="67"/>
      <c r="N87" s="67"/>
      <c r="O87" s="67"/>
      <c r="P87" s="67"/>
      <c r="Q87" s="67"/>
      <c r="R87" s="67"/>
      <c r="S87" s="67"/>
      <c r="T87" s="67"/>
      <c r="U87" s="67"/>
      <c r="V87" s="67"/>
      <c r="W87" s="67"/>
      <c r="X87" s="67"/>
      <c r="Y87" s="67"/>
      <c r="Z87" s="67"/>
      <c r="AA87" s="151"/>
    </row>
    <row r="88" spans="2:27" hidden="1">
      <c r="B88" s="166"/>
      <c r="C88" s="173"/>
      <c r="H88" s="67"/>
      <c r="I88" s="67"/>
      <c r="J88" s="67"/>
      <c r="K88" s="67"/>
      <c r="L88" s="67"/>
      <c r="M88" s="67"/>
      <c r="N88" s="67"/>
      <c r="O88" s="67"/>
      <c r="P88" s="67"/>
      <c r="Q88" s="67"/>
      <c r="R88" s="67"/>
      <c r="S88" s="67"/>
      <c r="T88" s="67"/>
      <c r="U88" s="67"/>
      <c r="V88" s="67"/>
      <c r="W88" s="67"/>
      <c r="X88" s="67"/>
      <c r="Y88" s="67"/>
      <c r="Z88" s="67"/>
      <c r="AA88" s="151"/>
    </row>
    <row r="89" spans="2:27" hidden="1">
      <c r="B89" s="166"/>
      <c r="C89" s="173"/>
      <c r="H89" s="67"/>
      <c r="I89" s="67"/>
      <c r="J89" s="67"/>
      <c r="K89" s="67"/>
      <c r="L89" s="67"/>
      <c r="M89" s="67"/>
      <c r="N89" s="67"/>
      <c r="O89" s="67"/>
      <c r="P89" s="67"/>
      <c r="Q89" s="67"/>
      <c r="R89" s="67"/>
      <c r="S89" s="67"/>
      <c r="T89" s="67"/>
      <c r="U89" s="67"/>
      <c r="V89" s="67"/>
      <c r="W89" s="67"/>
      <c r="X89" s="67"/>
      <c r="Y89" s="67"/>
      <c r="Z89" s="67"/>
      <c r="AA89" s="151"/>
    </row>
    <row r="90" spans="2:27" hidden="1">
      <c r="B90" s="166"/>
      <c r="C90" s="173"/>
      <c r="H90" s="67"/>
      <c r="I90" s="67"/>
      <c r="J90" s="67"/>
      <c r="K90" s="67"/>
      <c r="L90" s="67"/>
      <c r="M90" s="67"/>
      <c r="N90" s="67"/>
      <c r="O90" s="67"/>
      <c r="P90" s="67"/>
      <c r="Q90" s="67"/>
      <c r="R90" s="67"/>
      <c r="S90" s="67"/>
      <c r="T90" s="67"/>
      <c r="U90" s="67"/>
      <c r="V90" s="67"/>
      <c r="W90" s="67"/>
      <c r="X90" s="67"/>
      <c r="Y90" s="67"/>
      <c r="Z90" s="67"/>
      <c r="AA90" s="151"/>
    </row>
    <row r="91" spans="2:27" hidden="1">
      <c r="B91" s="166"/>
      <c r="C91" s="173"/>
      <c r="H91" s="67"/>
      <c r="I91" s="67"/>
      <c r="J91" s="67"/>
      <c r="K91" s="67"/>
      <c r="L91" s="67"/>
      <c r="M91" s="67"/>
      <c r="N91" s="67"/>
      <c r="O91" s="67"/>
      <c r="P91" s="67"/>
      <c r="Q91" s="67"/>
      <c r="R91" s="67"/>
      <c r="S91" s="67"/>
      <c r="T91" s="67"/>
      <c r="U91" s="67"/>
      <c r="V91" s="67"/>
      <c r="W91" s="67"/>
      <c r="X91" s="67"/>
      <c r="Y91" s="67"/>
      <c r="Z91" s="67"/>
      <c r="AA91" s="151"/>
    </row>
    <row r="92" spans="2:27" hidden="1">
      <c r="B92" s="166"/>
      <c r="C92" s="173"/>
      <c r="H92" s="67"/>
      <c r="I92" s="67"/>
      <c r="J92" s="67"/>
      <c r="K92" s="67"/>
      <c r="L92" s="67"/>
      <c r="M92" s="67"/>
      <c r="N92" s="67"/>
      <c r="O92" s="67"/>
      <c r="P92" s="67"/>
      <c r="Q92" s="67"/>
      <c r="R92" s="67"/>
      <c r="S92" s="67"/>
      <c r="T92" s="67"/>
      <c r="U92" s="67"/>
      <c r="V92" s="67"/>
      <c r="W92" s="67"/>
      <c r="X92" s="67"/>
      <c r="Y92" s="67"/>
      <c r="Z92" s="67"/>
      <c r="AA92" s="151"/>
    </row>
    <row r="93" spans="2:27" hidden="1">
      <c r="B93" s="166"/>
      <c r="C93" s="173"/>
      <c r="H93" s="67"/>
      <c r="I93" s="67"/>
      <c r="J93" s="67"/>
      <c r="K93" s="67"/>
      <c r="L93" s="67"/>
      <c r="M93" s="67"/>
      <c r="N93" s="67"/>
      <c r="O93" s="67"/>
      <c r="P93" s="67"/>
      <c r="Q93" s="67"/>
      <c r="R93" s="67"/>
      <c r="S93" s="67"/>
      <c r="T93" s="67"/>
      <c r="U93" s="67"/>
      <c r="V93" s="67"/>
      <c r="W93" s="67"/>
      <c r="X93" s="67"/>
      <c r="Y93" s="67"/>
      <c r="Z93" s="67"/>
      <c r="AA93" s="151"/>
    </row>
    <row r="94" spans="2:27" hidden="1">
      <c r="B94" s="166"/>
      <c r="C94" s="173"/>
      <c r="H94" s="67"/>
      <c r="I94" s="67"/>
      <c r="J94" s="67"/>
      <c r="K94" s="67"/>
      <c r="L94" s="67"/>
      <c r="M94" s="67"/>
      <c r="N94" s="67"/>
      <c r="O94" s="67"/>
      <c r="P94" s="67"/>
      <c r="Q94" s="67"/>
      <c r="R94" s="67"/>
      <c r="S94" s="67"/>
      <c r="T94" s="67"/>
      <c r="U94" s="67"/>
      <c r="V94" s="67"/>
      <c r="W94" s="67"/>
      <c r="X94" s="67"/>
      <c r="Y94" s="67"/>
      <c r="Z94" s="67"/>
      <c r="AA94" s="151"/>
    </row>
  </sheetData>
  <sheetProtection algorithmName="SHA-512" hashValue="OM0cVcvtibBQ3KS0NS/lGkf9tc+vtvsZPAB06bBu0OvYjtqz2cinU70vbd/aczdB5zFZgfBcntrpAFvHa0Czxw==" saltValue="FIRdci6tqOKI6MtIaSlmrQ==" spinCount="100000" sheet="1" objects="1" scenarios="1"/>
  <mergeCells count="12">
    <mergeCell ref="D61:D74"/>
    <mergeCell ref="E61:G74"/>
    <mergeCell ref="I61:I74"/>
    <mergeCell ref="J61:L74"/>
    <mergeCell ref="D12:Q12"/>
    <mergeCell ref="D33:D58"/>
    <mergeCell ref="I32:I58"/>
    <mergeCell ref="D4:Q11"/>
    <mergeCell ref="D14:G14"/>
    <mergeCell ref="D15:G20"/>
    <mergeCell ref="I22:L22"/>
    <mergeCell ref="D22:G2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8DE3E3-5B9D-4CA9-B32C-D9462C46ABEF}">
          <x14:formula1>
            <xm:f>Dropdown!$A$3:$A$4</xm:f>
          </x14:formula1>
          <xm:sqref>E14</xm:sqref>
        </x14:dataValidation>
        <x14:dataValidation type="list" allowBlank="1" showInputMessage="1" showErrorMessage="1" xr:uid="{D81CE465-856E-47ED-A609-CD9A5BFEB328}">
          <x14:formula1>
            <xm:f>Dropdown!$B$3:$B$4</xm:f>
          </x14:formula1>
          <xm:sqref>J28 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6AFE-770E-48A2-8F2D-7629F4D9DAA8}">
  <sheetPr codeName="Sheet3">
    <tabColor theme="2"/>
  </sheetPr>
  <dimension ref="A1:AA111"/>
  <sheetViews>
    <sheetView showGridLines="0" showRowColHeaders="0" topLeftCell="B1" zoomScale="75" zoomScaleNormal="75" workbookViewId="0">
      <selection activeCell="U12" sqref="U12"/>
    </sheetView>
  </sheetViews>
  <sheetFormatPr defaultColWidth="0" defaultRowHeight="14.25" zeroHeight="1"/>
  <cols>
    <col min="1" max="1" width="22.140625" style="1" hidden="1" customWidth="1"/>
    <col min="2" max="2" width="4.28515625" style="1" customWidth="1"/>
    <col min="3" max="3" width="4.7109375" style="39" customWidth="1"/>
    <col min="4" max="4" width="23.7109375" style="1" customWidth="1"/>
    <col min="5" max="5" width="48.7109375" style="1" customWidth="1"/>
    <col min="6" max="6" width="23.7109375" style="1" customWidth="1"/>
    <col min="7" max="7" width="24.28515625" style="1" customWidth="1"/>
    <col min="8" max="11" width="19.7109375" style="1" customWidth="1"/>
    <col min="12" max="26" width="14" style="1" customWidth="1"/>
    <col min="27" max="27" width="14" style="40" customWidth="1"/>
    <col min="28" max="16384" width="14" style="1" hidden="1"/>
  </cols>
  <sheetData>
    <row r="1" spans="1:27" ht="8.25" customHeight="1">
      <c r="B1" s="4"/>
      <c r="C1" s="4"/>
      <c r="D1" s="4"/>
      <c r="E1" s="4"/>
      <c r="F1" s="4"/>
      <c r="G1" s="4"/>
      <c r="H1" s="4"/>
      <c r="I1" s="4"/>
      <c r="J1" s="4"/>
      <c r="K1" s="4"/>
      <c r="L1" s="4"/>
      <c r="M1" s="4"/>
      <c r="N1" s="4"/>
      <c r="O1" s="4"/>
      <c r="P1" s="4"/>
      <c r="Q1" s="4"/>
      <c r="R1" s="4"/>
      <c r="S1" s="4"/>
      <c r="T1" s="4"/>
      <c r="U1" s="4"/>
      <c r="V1" s="4"/>
      <c r="W1" s="4"/>
      <c r="AA1" s="1"/>
    </row>
    <row r="2" spans="1:27" ht="5.25" customHeight="1">
      <c r="A2" s="1" t="str">
        <f>Introduction!$E$14</f>
        <v>Føroyskt</v>
      </c>
      <c r="B2" s="6"/>
      <c r="C2" s="4"/>
      <c r="D2" s="4"/>
      <c r="E2" s="4"/>
      <c r="F2" s="4"/>
      <c r="G2" s="4"/>
      <c r="H2" s="4"/>
      <c r="I2" s="4"/>
      <c r="J2" s="4"/>
      <c r="K2" s="4"/>
      <c r="L2" s="4"/>
      <c r="M2" s="4"/>
      <c r="N2" s="4"/>
      <c r="O2" s="4"/>
      <c r="P2" s="4"/>
      <c r="Q2" s="4"/>
      <c r="R2" s="4"/>
      <c r="S2" s="4"/>
      <c r="T2" s="4"/>
      <c r="U2" s="4"/>
      <c r="V2" s="4"/>
      <c r="W2" s="4"/>
      <c r="X2" s="4"/>
      <c r="Y2" s="4"/>
      <c r="Z2" s="4"/>
      <c r="AA2" s="4"/>
    </row>
    <row r="3" spans="1:27">
      <c r="B3" s="4"/>
      <c r="C3" s="11"/>
      <c r="D3" s="10"/>
      <c r="E3" s="10"/>
      <c r="F3" s="10"/>
      <c r="G3" s="10"/>
      <c r="H3" s="10"/>
      <c r="I3" s="10"/>
      <c r="J3" s="10"/>
      <c r="K3" s="10"/>
      <c r="L3" s="10"/>
      <c r="M3" s="10"/>
      <c r="N3" s="10"/>
      <c r="O3" s="10"/>
      <c r="P3" s="10"/>
      <c r="Q3" s="10"/>
      <c r="R3" s="10"/>
      <c r="S3" s="10"/>
      <c r="T3" s="10"/>
      <c r="U3" s="10"/>
      <c r="V3" s="10"/>
      <c r="W3" s="10"/>
      <c r="X3" s="10"/>
      <c r="Y3" s="10"/>
      <c r="Z3" s="10"/>
      <c r="AA3" s="37"/>
    </row>
    <row r="4" spans="1:27" ht="5.0999999999999996" customHeight="1">
      <c r="A4" s="3" t="s">
        <v>0</v>
      </c>
      <c r="B4" s="5"/>
      <c r="C4" s="12"/>
      <c r="D4" s="447" t="str">
        <f>IF($A$2="English",_xlfn.XLOOKUP($A$4,Descriptions!$A:$A,Descriptions!$B:$B),_xlfn.XLOOKUP($A$4,Descriptions!$A:$A,Descriptions!$C:$C))</f>
        <v>Føroyskur CO2-roknari. Ár: 2023</v>
      </c>
      <c r="E4" s="447"/>
      <c r="F4" s="447"/>
      <c r="G4" s="447"/>
      <c r="H4" s="447"/>
      <c r="I4" s="447"/>
      <c r="J4" s="447"/>
      <c r="K4" s="447"/>
      <c r="L4" s="447"/>
      <c r="M4" s="447"/>
      <c r="N4" s="447"/>
      <c r="O4" s="447"/>
      <c r="P4" s="447"/>
      <c r="Q4" s="447"/>
      <c r="R4" s="2"/>
      <c r="S4" s="2"/>
      <c r="T4" s="2"/>
      <c r="U4" s="2"/>
      <c r="V4" s="2"/>
      <c r="W4" s="2"/>
      <c r="X4" s="2"/>
      <c r="Y4" s="2"/>
      <c r="Z4" s="2"/>
      <c r="AA4" s="38"/>
    </row>
    <row r="5" spans="1:27" ht="5.0999999999999996" customHeight="1">
      <c r="B5" s="4"/>
      <c r="C5" s="12"/>
      <c r="D5" s="447"/>
      <c r="E5" s="447"/>
      <c r="F5" s="447"/>
      <c r="G5" s="447"/>
      <c r="H5" s="447"/>
      <c r="I5" s="447"/>
      <c r="J5" s="447"/>
      <c r="K5" s="447"/>
      <c r="L5" s="447"/>
      <c r="M5" s="447"/>
      <c r="N5" s="447"/>
      <c r="O5" s="447"/>
      <c r="P5" s="447"/>
      <c r="Q5" s="447"/>
      <c r="R5" s="2"/>
      <c r="S5" s="2"/>
      <c r="T5" s="2"/>
      <c r="U5" s="2"/>
      <c r="V5" s="2"/>
      <c r="W5" s="2"/>
      <c r="X5" s="2"/>
      <c r="Y5" s="2"/>
      <c r="Z5" s="2"/>
      <c r="AA5" s="38"/>
    </row>
    <row r="6" spans="1:27" ht="5.0999999999999996" customHeight="1">
      <c r="A6" s="1" t="s">
        <v>95</v>
      </c>
      <c r="B6" s="4"/>
      <c r="C6" s="12"/>
      <c r="D6" s="447"/>
      <c r="E6" s="447"/>
      <c r="F6" s="447"/>
      <c r="G6" s="447"/>
      <c r="H6" s="447"/>
      <c r="I6" s="447"/>
      <c r="J6" s="447"/>
      <c r="K6" s="447"/>
      <c r="L6" s="447"/>
      <c r="M6" s="447"/>
      <c r="N6" s="447"/>
      <c r="O6" s="447"/>
      <c r="P6" s="447"/>
      <c r="Q6" s="447"/>
      <c r="R6" s="2"/>
      <c r="S6" s="2"/>
      <c r="T6" s="2"/>
      <c r="U6" s="2"/>
      <c r="V6" s="2"/>
      <c r="W6" s="2"/>
      <c r="X6" s="2"/>
      <c r="Y6" s="2"/>
      <c r="Z6" s="2"/>
      <c r="AA6" s="38"/>
    </row>
    <row r="7" spans="1:27" ht="5.0999999999999996" customHeight="1">
      <c r="A7" s="1" t="s">
        <v>118</v>
      </c>
      <c r="B7" s="4"/>
      <c r="C7" s="12"/>
      <c r="D7" s="447"/>
      <c r="E7" s="447"/>
      <c r="F7" s="447"/>
      <c r="G7" s="447"/>
      <c r="H7" s="447"/>
      <c r="I7" s="447"/>
      <c r="J7" s="447"/>
      <c r="K7" s="447"/>
      <c r="L7" s="447"/>
      <c r="M7" s="447"/>
      <c r="N7" s="447"/>
      <c r="O7" s="447"/>
      <c r="P7" s="447"/>
      <c r="Q7" s="447"/>
      <c r="R7" s="2"/>
      <c r="S7" s="2"/>
      <c r="T7" s="2"/>
      <c r="U7" s="2"/>
      <c r="V7" s="2"/>
      <c r="W7" s="2"/>
      <c r="X7" s="2"/>
      <c r="Y7" s="2"/>
      <c r="Z7" s="2"/>
      <c r="AA7" s="38"/>
    </row>
    <row r="8" spans="1:27" ht="5.0999999999999996" customHeight="1">
      <c r="A8" s="1" t="s">
        <v>119</v>
      </c>
      <c r="B8" s="4"/>
      <c r="C8" s="12"/>
      <c r="D8" s="447"/>
      <c r="E8" s="447"/>
      <c r="F8" s="447"/>
      <c r="G8" s="447"/>
      <c r="H8" s="447"/>
      <c r="I8" s="447"/>
      <c r="J8" s="447"/>
      <c r="K8" s="447"/>
      <c r="L8" s="447"/>
      <c r="M8" s="447"/>
      <c r="N8" s="447"/>
      <c r="O8" s="447"/>
      <c r="P8" s="447"/>
      <c r="Q8" s="447"/>
      <c r="R8" s="2"/>
      <c r="S8" s="2"/>
      <c r="T8" s="2"/>
      <c r="U8" s="2"/>
      <c r="V8" s="2"/>
      <c r="W8" s="2"/>
      <c r="X8" s="2"/>
      <c r="Y8" s="2"/>
      <c r="Z8" s="2"/>
      <c r="AA8" s="38"/>
    </row>
    <row r="9" spans="1:27" ht="5.0999999999999996" customHeight="1">
      <c r="A9" s="1" t="s">
        <v>144</v>
      </c>
      <c r="B9" s="4"/>
      <c r="C9" s="12"/>
      <c r="D9" s="447"/>
      <c r="E9" s="447"/>
      <c r="F9" s="447"/>
      <c r="G9" s="447"/>
      <c r="H9" s="447"/>
      <c r="I9" s="447"/>
      <c r="J9" s="447"/>
      <c r="K9" s="447"/>
      <c r="L9" s="447"/>
      <c r="M9" s="447"/>
      <c r="N9" s="447"/>
      <c r="O9" s="447"/>
      <c r="P9" s="447"/>
      <c r="Q9" s="447"/>
      <c r="R9" s="2"/>
      <c r="S9" s="2"/>
      <c r="T9" s="2"/>
      <c r="U9" s="2"/>
      <c r="V9" s="2"/>
      <c r="W9" s="2"/>
      <c r="X9" s="2"/>
      <c r="Y9" s="2"/>
      <c r="Z9" s="2"/>
      <c r="AA9" s="38"/>
    </row>
    <row r="10" spans="1:27" ht="5.0999999999999996" customHeight="1">
      <c r="B10" s="4"/>
      <c r="C10" s="12"/>
      <c r="D10" s="447"/>
      <c r="E10" s="447"/>
      <c r="F10" s="447"/>
      <c r="G10" s="447"/>
      <c r="H10" s="447"/>
      <c r="I10" s="447"/>
      <c r="J10" s="447"/>
      <c r="K10" s="447"/>
      <c r="L10" s="447"/>
      <c r="M10" s="447"/>
      <c r="N10" s="447"/>
      <c r="O10" s="447"/>
      <c r="P10" s="447"/>
      <c r="Q10" s="447"/>
      <c r="R10" s="2"/>
      <c r="S10" s="2"/>
      <c r="T10" s="2"/>
      <c r="U10" s="2"/>
      <c r="V10" s="2"/>
      <c r="W10" s="2"/>
      <c r="X10" s="2"/>
      <c r="Y10" s="2"/>
      <c r="Z10" s="2"/>
      <c r="AA10" s="38"/>
    </row>
    <row r="11" spans="1:27" ht="5.0999999999999996" customHeight="1">
      <c r="A11" s="1" t="s">
        <v>145</v>
      </c>
      <c r="B11" s="4"/>
      <c r="C11" s="12"/>
      <c r="D11" s="447"/>
      <c r="E11" s="447"/>
      <c r="F11" s="447"/>
      <c r="G11" s="447"/>
      <c r="H11" s="447"/>
      <c r="I11" s="447"/>
      <c r="J11" s="447"/>
      <c r="K11" s="447"/>
      <c r="L11" s="447"/>
      <c r="M11" s="447"/>
      <c r="N11" s="447"/>
      <c r="O11" s="447"/>
      <c r="P11" s="447"/>
      <c r="Q11" s="447"/>
      <c r="R11" s="2"/>
      <c r="S11" s="2"/>
      <c r="T11" s="2"/>
      <c r="U11" s="2"/>
      <c r="V11" s="2"/>
      <c r="W11" s="2"/>
      <c r="X11" s="2"/>
      <c r="Y11" s="2"/>
      <c r="Z11" s="2"/>
      <c r="AA11" s="38"/>
    </row>
    <row r="12" spans="1:27" ht="99.95" customHeight="1">
      <c r="A12" s="1" t="s">
        <v>146</v>
      </c>
      <c r="B12" s="4"/>
      <c r="C12" s="12"/>
      <c r="D12" s="446" t="str">
        <f>IF($A$2="English",_xlfn.XLOOKUP($A$6,Descriptions!$A:$A,Descriptions!$B:$B),_xlfn.XLOOKUP($A$6,Descriptions!$A:$A,Descriptions!$C:$C))</f>
        <v>Samandráttur</v>
      </c>
      <c r="E12" s="446"/>
      <c r="F12" s="446"/>
      <c r="G12" s="446"/>
      <c r="H12" s="446"/>
      <c r="I12" s="446"/>
      <c r="J12" s="446"/>
      <c r="K12" s="446"/>
      <c r="L12" s="446"/>
      <c r="M12" s="44"/>
      <c r="N12" s="44"/>
      <c r="O12" s="44"/>
      <c r="P12" s="44"/>
      <c r="Q12" s="44"/>
      <c r="R12" s="2"/>
      <c r="S12" s="2"/>
      <c r="T12" s="2"/>
      <c r="U12" s="2"/>
      <c r="V12" s="2"/>
      <c r="W12" s="2"/>
      <c r="X12" s="2"/>
      <c r="Y12" s="2"/>
      <c r="Z12" s="2"/>
      <c r="AA12" s="38"/>
    </row>
    <row r="13" spans="1:27">
      <c r="A13" s="1" t="s">
        <v>147</v>
      </c>
      <c r="B13" s="4"/>
      <c r="C13" s="12"/>
      <c r="D13" s="2"/>
      <c r="E13" s="2"/>
      <c r="F13" s="2"/>
      <c r="G13" s="2"/>
      <c r="H13" s="2"/>
      <c r="I13" s="2"/>
      <c r="J13" s="2"/>
      <c r="K13" s="2"/>
      <c r="L13" s="2"/>
      <c r="M13" s="2"/>
      <c r="N13" s="2"/>
      <c r="O13" s="2"/>
      <c r="P13" s="2"/>
      <c r="Q13" s="2"/>
      <c r="R13" s="2"/>
      <c r="S13" s="2"/>
      <c r="T13" s="2"/>
      <c r="U13" s="2"/>
      <c r="V13" s="2"/>
      <c r="W13" s="2"/>
      <c r="X13" s="2"/>
      <c r="Y13" s="2"/>
      <c r="Z13" s="2"/>
      <c r="AA13" s="38"/>
    </row>
    <row r="14" spans="1:27" ht="15.75">
      <c r="A14" s="1" t="s">
        <v>148</v>
      </c>
      <c r="B14" s="4"/>
      <c r="C14" s="12"/>
      <c r="D14" s="314" t="str">
        <f>IF($A$2="English",_xlfn.XLOOKUP(A7,Descriptions!$A:$A,Descriptions!$B:$B),_xlfn.XLOOKUP(A7,Descriptions!$A:$A,Descriptions!$C:$C))</f>
        <v>Fyritøka</v>
      </c>
      <c r="E14" s="300" t="str">
        <f>IF('Organisation Details'!$E$24="","",'Organisation Details'!$E$24)</f>
        <v/>
      </c>
      <c r="F14" s="2"/>
      <c r="G14" s="9"/>
      <c r="H14" s="9" t="str">
        <f>E14&amp;" tCO2e by Scope"&amp;" - "&amp;E15</f>
        <v xml:space="preserve"> tCO2e by Scope - 2023</v>
      </c>
      <c r="I14" s="9"/>
      <c r="J14" s="2"/>
      <c r="K14" s="2"/>
      <c r="L14" s="2"/>
      <c r="M14" s="7"/>
      <c r="N14" s="2"/>
      <c r="O14" s="2"/>
      <c r="P14" s="2"/>
      <c r="Q14" s="2"/>
      <c r="R14" s="2"/>
      <c r="S14" s="2"/>
      <c r="T14" s="2"/>
      <c r="U14" s="2"/>
      <c r="V14" s="2"/>
      <c r="W14" s="2"/>
      <c r="X14" s="2"/>
      <c r="Y14" s="2"/>
      <c r="Z14" s="2"/>
      <c r="AA14" s="38"/>
    </row>
    <row r="15" spans="1:27" ht="15.75">
      <c r="A15" s="1" t="s">
        <v>149</v>
      </c>
      <c r="B15" s="4"/>
      <c r="C15" s="12"/>
      <c r="D15" s="314" t="str">
        <f>IF($A$2="English",_xlfn.XLOOKUP(A8,Descriptions!$A:$A,Descriptions!$B:$B),_xlfn.XLOOKUP(A8,Descriptions!$A:$A,Descriptions!$C:$C))</f>
        <v>Fráboðanarár</v>
      </c>
      <c r="E15" s="300">
        <f>'Organisation Details'!$E$26</f>
        <v>2023</v>
      </c>
      <c r="F15" s="2"/>
      <c r="G15" s="9" t="s">
        <v>147</v>
      </c>
      <c r="H15" s="41" t="e">
        <f>I15/$I$18</f>
        <v>#DIV/0!</v>
      </c>
      <c r="I15" s="25">
        <f>F21</f>
        <v>0</v>
      </c>
      <c r="J15" s="2"/>
      <c r="K15" s="2"/>
      <c r="L15" s="2"/>
      <c r="M15" s="33" t="str">
        <f>E14&amp;" tCO2e by Scope Category"</f>
        <v xml:space="preserve"> tCO2e by Scope Category</v>
      </c>
      <c r="N15" s="2"/>
      <c r="O15" s="2"/>
      <c r="P15" s="2"/>
      <c r="Q15" s="2"/>
      <c r="R15" s="2"/>
      <c r="S15" s="2"/>
      <c r="T15" s="2"/>
      <c r="U15" s="2"/>
      <c r="V15" s="2"/>
      <c r="W15" s="2"/>
      <c r="X15" s="2"/>
      <c r="Y15" s="2"/>
      <c r="Z15" s="2"/>
      <c r="AA15" s="38"/>
    </row>
    <row r="16" spans="1:27" ht="15">
      <c r="A16" s="1" t="s">
        <v>150</v>
      </c>
      <c r="B16" s="4"/>
      <c r="C16" s="12"/>
      <c r="E16" s="45"/>
      <c r="F16" s="45"/>
      <c r="G16" s="9" t="s">
        <v>151</v>
      </c>
      <c r="H16" s="41" t="e">
        <f t="shared" ref="H16:H17" si="0">I16/$I$18</f>
        <v>#DIV/0!</v>
      </c>
      <c r="I16" s="25">
        <f>F25</f>
        <v>0</v>
      </c>
      <c r="J16" s="2"/>
      <c r="K16" s="2"/>
      <c r="L16" s="2"/>
      <c r="M16" s="7"/>
      <c r="N16" s="2"/>
      <c r="O16" s="2"/>
      <c r="P16" s="2"/>
      <c r="Q16" s="2"/>
      <c r="R16" s="2"/>
      <c r="S16" s="2"/>
      <c r="T16" s="2"/>
      <c r="U16" s="2"/>
      <c r="V16" s="2"/>
      <c r="W16" s="2"/>
      <c r="X16" s="2"/>
      <c r="Y16" s="2"/>
      <c r="Z16" s="2"/>
      <c r="AA16" s="38"/>
    </row>
    <row r="17" spans="1:27">
      <c r="A17" s="1" t="s">
        <v>152</v>
      </c>
      <c r="B17" s="4"/>
      <c r="C17" s="12"/>
      <c r="D17" s="43" t="str">
        <f>IF($F$20=0,IF($A$2="English",_xlfn.XLOOKUP(A29,Descriptions!$A:$A,Descriptions!$B:$B),_xlfn.XLOOKUP(A29,Descriptions!$A:$A,Descriptions!$C:$C)),"")</f>
        <v>GG. Grafurin og talvan niðanfyri koma fram so hvørt dátur verða settar inn í ymisku rokniørkini.</v>
      </c>
      <c r="E17" s="2"/>
      <c r="F17" s="2"/>
      <c r="G17" s="9" t="s">
        <v>149</v>
      </c>
      <c r="H17" s="41" t="e">
        <f t="shared" si="0"/>
        <v>#DIV/0!</v>
      </c>
      <c r="I17" s="25">
        <f>F28</f>
        <v>0</v>
      </c>
      <c r="J17" s="2"/>
      <c r="K17" s="2"/>
      <c r="L17" s="2"/>
      <c r="M17" s="2"/>
      <c r="N17" s="8"/>
      <c r="O17" s="8"/>
      <c r="P17" s="2"/>
      <c r="Q17" s="2"/>
      <c r="R17" s="2"/>
      <c r="S17" s="2"/>
      <c r="T17" s="2"/>
      <c r="U17" s="2"/>
      <c r="V17" s="2"/>
      <c r="W17" s="2"/>
      <c r="X17" s="2"/>
      <c r="Y17" s="2"/>
      <c r="Z17" s="2"/>
      <c r="AA17" s="38"/>
    </row>
    <row r="18" spans="1:27" ht="15" customHeight="1">
      <c r="A18" s="1" t="s">
        <v>153</v>
      </c>
      <c r="B18" s="4"/>
      <c r="C18" s="12"/>
      <c r="G18" s="9"/>
      <c r="H18" s="9"/>
      <c r="I18" s="25">
        <f>SUM(I15:I17)</f>
        <v>0</v>
      </c>
      <c r="J18" s="2"/>
      <c r="K18" s="2"/>
      <c r="L18" s="2"/>
      <c r="M18" s="2"/>
      <c r="N18" s="8"/>
      <c r="O18" s="2"/>
      <c r="P18" s="2"/>
      <c r="Q18" s="2"/>
      <c r="R18" s="2"/>
      <c r="S18" s="2"/>
      <c r="T18" s="2"/>
      <c r="U18" s="2"/>
      <c r="V18" s="2"/>
      <c r="W18" s="2"/>
      <c r="X18" s="2"/>
      <c r="Y18" s="2"/>
      <c r="Z18" s="2"/>
      <c r="AA18" s="38"/>
    </row>
    <row r="19" spans="1:27" ht="30" customHeight="1">
      <c r="A19" s="1" t="s">
        <v>154</v>
      </c>
      <c r="B19" s="4"/>
      <c r="C19" s="12"/>
      <c r="D19" s="352" t="str">
        <f>IF($A$2="English",_xlfn.XLOOKUP(A9,Descriptions!$A:$A,Descriptions!$B:$B),_xlfn.XLOOKUP(A9,Descriptions!$A:$A,Descriptions!$C:$C))</f>
        <v>Vav</v>
      </c>
      <c r="E19" s="352" t="str">
        <f>IF($A$2="English",_xlfn.XLOOKUP(A11,Descriptions!$A:$A,Descriptions!$B:$B),_xlfn.XLOOKUP(A11,Descriptions!$A:$A,Descriptions!$C:$C))</f>
        <v>Útlátsbólkur</v>
      </c>
      <c r="F19" s="352" t="s">
        <v>155</v>
      </c>
      <c r="G19" s="9"/>
      <c r="H19" s="9"/>
      <c r="I19" s="9"/>
      <c r="J19" s="2"/>
      <c r="K19" s="2"/>
      <c r="L19" s="2"/>
      <c r="M19" s="2"/>
      <c r="N19" s="8"/>
      <c r="O19" s="2"/>
      <c r="P19" s="2"/>
      <c r="Q19" s="2"/>
      <c r="R19" s="2"/>
      <c r="S19" s="2"/>
      <c r="T19" s="2"/>
      <c r="U19" s="2"/>
      <c r="V19" s="2"/>
      <c r="W19" s="2"/>
      <c r="X19" s="2"/>
      <c r="Y19" s="2"/>
      <c r="Z19" s="2"/>
      <c r="AA19" s="38"/>
    </row>
    <row r="20" spans="1:27" ht="15" customHeight="1">
      <c r="A20" s="1" t="s">
        <v>156</v>
      </c>
      <c r="B20" s="4"/>
      <c r="C20" s="12"/>
      <c r="D20" s="50" t="str">
        <f>IF($A$2="English",_xlfn.XLOOKUP(A12,Descriptions!$A:$A,Descriptions!$B:$B),_xlfn.XLOOKUP(A12,Descriptions!$A:$A,Descriptions!$C:$C))</f>
        <v>Samanlagt</v>
      </c>
      <c r="E20" s="50"/>
      <c r="F20" s="51">
        <f>SUM(F21,F25,F28)</f>
        <v>0</v>
      </c>
      <c r="G20" s="20"/>
      <c r="H20" s="20"/>
      <c r="I20" s="20"/>
      <c r="J20" s="2"/>
      <c r="K20" s="2"/>
      <c r="L20" s="2"/>
      <c r="M20" s="2"/>
      <c r="N20" s="8"/>
      <c r="O20" s="2"/>
      <c r="P20" s="2"/>
      <c r="Q20" s="2"/>
      <c r="R20" s="2"/>
      <c r="S20" s="2"/>
      <c r="T20" s="2"/>
      <c r="U20" s="2"/>
      <c r="V20" s="2"/>
      <c r="W20" s="2"/>
      <c r="X20" s="2"/>
      <c r="Y20" s="2"/>
      <c r="Z20" s="2"/>
      <c r="AA20" s="38"/>
    </row>
    <row r="21" spans="1:27" ht="15" customHeight="1">
      <c r="A21" s="1" t="s">
        <v>157</v>
      </c>
      <c r="B21" s="4"/>
      <c r="C21" s="12"/>
      <c r="D21" s="52" t="str">
        <f>IF($A$2="English",_xlfn.XLOOKUP($A$13,Descriptions!$A:$A,Descriptions!$B:$B),_xlfn.XLOOKUP($A$13,Descriptions!$A:$A,Descriptions!$C:$C))</f>
        <v>Vav 1</v>
      </c>
      <c r="E21" s="52"/>
      <c r="F21" s="53">
        <f>SUM(F22:F24)</f>
        <v>0</v>
      </c>
      <c r="G21" s="20"/>
      <c r="H21" s="20"/>
      <c r="I21" s="20"/>
      <c r="J21" s="2"/>
      <c r="K21" s="2"/>
      <c r="L21" s="2"/>
      <c r="M21" s="9"/>
      <c r="N21" s="8"/>
      <c r="O21" s="2"/>
      <c r="P21" s="2"/>
      <c r="Q21" s="2"/>
      <c r="R21" s="2"/>
      <c r="S21" s="2"/>
      <c r="T21" s="2"/>
      <c r="U21" s="2"/>
      <c r="V21" s="2"/>
      <c r="W21" s="2"/>
      <c r="X21" s="2"/>
      <c r="Y21" s="2"/>
      <c r="Z21" s="2"/>
      <c r="AA21" s="38"/>
    </row>
    <row r="22" spans="1:27" ht="15" customHeight="1">
      <c r="A22" s="1" t="s">
        <v>158</v>
      </c>
      <c r="B22" s="4"/>
      <c r="C22" s="12"/>
      <c r="D22" s="54" t="str">
        <f>IF($A$2="English",_xlfn.XLOOKUP($A$13,Descriptions!$A:$A,Descriptions!$B:$B),_xlfn.XLOOKUP($A$13,Descriptions!$A:$A,Descriptions!$C:$C))</f>
        <v>Vav 1</v>
      </c>
      <c r="E22" s="55" t="str">
        <f>IF($A$2="English",_xlfn.XLOOKUP($A$16,Descriptions!$A:$A,Descriptions!$B:$B),_xlfn.XLOOKUP($A$16,Descriptions!$A:$A,Descriptions!$C:$C))</f>
        <v>Vav 1 - Brennievni - brenning á føstum skipanum</v>
      </c>
      <c r="F22" s="56">
        <f>E99</f>
        <v>0</v>
      </c>
      <c r="G22" s="20"/>
      <c r="H22" s="20"/>
      <c r="I22" s="20"/>
      <c r="J22" s="2"/>
      <c r="K22" s="2"/>
      <c r="L22" s="2"/>
      <c r="M22" s="2"/>
      <c r="N22" s="8"/>
      <c r="O22" s="2"/>
      <c r="P22" s="2"/>
      <c r="Q22" s="2"/>
      <c r="R22" s="2"/>
      <c r="S22" s="2"/>
      <c r="T22" s="2"/>
      <c r="U22" s="2"/>
      <c r="V22" s="2"/>
      <c r="W22" s="2"/>
      <c r="X22" s="2"/>
      <c r="Y22" s="2"/>
      <c r="Z22" s="2"/>
      <c r="AA22" s="38"/>
    </row>
    <row r="23" spans="1:27" ht="15" customHeight="1">
      <c r="A23" s="1" t="s">
        <v>159</v>
      </c>
      <c r="B23" s="4"/>
      <c r="C23" s="12"/>
      <c r="D23" s="54" t="str">
        <f>IF($A$2="English",_xlfn.XLOOKUP($A$13,Descriptions!$A:$A,Descriptions!$B:$B),_xlfn.XLOOKUP($A$13,Descriptions!$A:$A,Descriptions!$C:$C))</f>
        <v>Vav 1</v>
      </c>
      <c r="E23" s="55" t="str">
        <f>IF($A$2="English",_xlfn.XLOOKUP($A$17,Descriptions!$A:$A,Descriptions!$B:$B),_xlfn.XLOOKUP($A$17,Descriptions!$A:$A,Descriptions!$C:$C))</f>
        <v>Vav 1 - Brennievni - brenning á flytførum skipanum</v>
      </c>
      <c r="F23" s="56">
        <f>F99</f>
        <v>0</v>
      </c>
      <c r="G23" s="20"/>
      <c r="H23" s="20"/>
      <c r="I23" s="20"/>
      <c r="J23" s="2"/>
      <c r="K23" s="2"/>
      <c r="L23" s="2"/>
      <c r="M23" s="2"/>
      <c r="N23" s="2"/>
      <c r="O23" s="2"/>
      <c r="P23" s="2"/>
      <c r="Q23" s="2"/>
      <c r="R23" s="2"/>
      <c r="S23" s="2"/>
      <c r="T23" s="2"/>
      <c r="U23" s="2"/>
      <c r="V23" s="2"/>
      <c r="W23" s="2"/>
      <c r="X23" s="2"/>
      <c r="Y23" s="2"/>
      <c r="Z23" s="2"/>
      <c r="AA23" s="38"/>
    </row>
    <row r="24" spans="1:27" ht="15" customHeight="1">
      <c r="A24" s="1" t="s">
        <v>160</v>
      </c>
      <c r="B24" s="4"/>
      <c r="C24" s="12"/>
      <c r="D24" s="54" t="str">
        <f>IF($A$2="English",_xlfn.XLOOKUP($A$13,Descriptions!$A:$A,Descriptions!$B:$B),_xlfn.XLOOKUP($A$13,Descriptions!$A:$A,Descriptions!$C:$C))</f>
        <v>Vav 1</v>
      </c>
      <c r="E24" s="55" t="str">
        <f>IF($A$2="English",_xlfn.XLOOKUP($A$18,Descriptions!$A:$A,Descriptions!$B:$B),_xlfn.XLOOKUP($A$18,Descriptions!$A:$A,Descriptions!$C:$C))</f>
        <v>Vav 1 - Kølievni</v>
      </c>
      <c r="F24" s="56">
        <f>G99</f>
        <v>0</v>
      </c>
      <c r="G24" s="2"/>
      <c r="H24" s="2"/>
      <c r="I24" s="2"/>
      <c r="J24" s="2"/>
      <c r="K24" s="2"/>
      <c r="L24" s="2"/>
      <c r="M24" s="2"/>
      <c r="N24" s="2"/>
      <c r="O24" s="2"/>
      <c r="P24" s="2"/>
      <c r="Q24" s="2"/>
      <c r="R24" s="2"/>
      <c r="S24" s="2"/>
      <c r="T24" s="2"/>
      <c r="U24" s="2"/>
      <c r="V24" s="2"/>
      <c r="W24" s="2"/>
      <c r="X24" s="2"/>
      <c r="Y24" s="2"/>
      <c r="Z24" s="2"/>
      <c r="AA24" s="38"/>
    </row>
    <row r="25" spans="1:27" ht="15" customHeight="1">
      <c r="A25" s="1" t="s">
        <v>161</v>
      </c>
      <c r="B25" s="4"/>
      <c r="C25" s="12"/>
      <c r="D25" s="57" t="str">
        <f>IF($A$2="English",_xlfn.XLOOKUP($A$14,Descriptions!$A:$A,Descriptions!$B:$B),_xlfn.XLOOKUP($A$14,Descriptions!$A:$A,Descriptions!$C:$C))</f>
        <v>Vav 2</v>
      </c>
      <c r="E25" s="57"/>
      <c r="F25" s="58">
        <f>SUM(F26,F27)</f>
        <v>0</v>
      </c>
      <c r="G25" s="2"/>
      <c r="H25" s="2"/>
      <c r="I25" s="2"/>
      <c r="J25" s="2"/>
      <c r="K25" s="2"/>
      <c r="L25" s="2"/>
      <c r="M25" s="2"/>
      <c r="N25" s="2"/>
      <c r="O25" s="2"/>
      <c r="P25" s="2"/>
      <c r="Q25" s="2"/>
      <c r="R25" s="2"/>
      <c r="S25" s="2"/>
      <c r="T25" s="2"/>
      <c r="U25" s="2"/>
      <c r="V25" s="2"/>
      <c r="W25" s="2"/>
      <c r="X25" s="2"/>
      <c r="Y25" s="2"/>
      <c r="Z25" s="2"/>
      <c r="AA25" s="38"/>
    </row>
    <row r="26" spans="1:27" ht="15" customHeight="1">
      <c r="A26" s="1" t="s">
        <v>162</v>
      </c>
      <c r="B26" s="4"/>
      <c r="C26" s="12"/>
      <c r="D26" s="59" t="str">
        <f>IF($A$2="English",_xlfn.XLOOKUP($A$14,Descriptions!$A:$A,Descriptions!$B:$B),_xlfn.XLOOKUP($A$14,Descriptions!$A:$A,Descriptions!$C:$C))</f>
        <v>Vav 2</v>
      </c>
      <c r="E26" s="60" t="str">
        <f>IF($A$2="English",_xlfn.XLOOKUP($A$19,Descriptions!$A:$A,Descriptions!$B:$B),_xlfn.XLOOKUP($A$19,Descriptions!$A:$A,Descriptions!$C:$C))</f>
        <v>Vav 2 - Keypt el</v>
      </c>
      <c r="F26" s="56">
        <f>H99</f>
        <v>0</v>
      </c>
      <c r="G26" s="2"/>
      <c r="H26" s="2"/>
      <c r="I26" s="2"/>
      <c r="J26" s="2"/>
      <c r="K26" s="2"/>
      <c r="L26" s="2"/>
      <c r="M26" s="2"/>
      <c r="N26" s="2"/>
      <c r="O26" s="2"/>
      <c r="P26" s="2"/>
      <c r="Q26" s="2"/>
      <c r="R26" s="2"/>
      <c r="S26" s="2"/>
      <c r="T26" s="2"/>
      <c r="U26" s="2"/>
      <c r="V26" s="2"/>
      <c r="W26" s="2"/>
      <c r="X26" s="2"/>
      <c r="Y26" s="2"/>
      <c r="Z26" s="2"/>
      <c r="AA26" s="38"/>
    </row>
    <row r="27" spans="1:27" ht="15" customHeight="1">
      <c r="B27" s="4"/>
      <c r="C27" s="12"/>
      <c r="D27" s="59" t="str">
        <f>IF($A$2="English",_xlfn.XLOOKUP($A$14,Descriptions!$A:$A,Descriptions!$B:$B),_xlfn.XLOOKUP($A$14,Descriptions!$A:$A,Descriptions!$C:$C))</f>
        <v>Vav 2</v>
      </c>
      <c r="E27" s="60" t="str">
        <f>IF($A$2="English",_xlfn.XLOOKUP($A$20,Descriptions!$A:$A,Descriptions!$B:$B),_xlfn.XLOOKUP($A$20,Descriptions!$A:$A,Descriptions!$C:$C))</f>
        <v>Vav 2 - Fjarhiti</v>
      </c>
      <c r="F27" s="56">
        <f>I99</f>
        <v>0</v>
      </c>
      <c r="G27" s="2"/>
      <c r="H27" s="2"/>
      <c r="I27" s="2"/>
      <c r="J27" s="2"/>
      <c r="K27" s="2"/>
      <c r="L27" s="2"/>
      <c r="M27" s="2"/>
      <c r="N27" s="2"/>
      <c r="O27" s="2"/>
      <c r="P27" s="2"/>
      <c r="Q27" s="2"/>
      <c r="R27" s="2"/>
      <c r="S27" s="2"/>
      <c r="T27" s="2"/>
      <c r="U27" s="2"/>
      <c r="V27" s="2"/>
      <c r="W27" s="2"/>
      <c r="X27" s="2"/>
      <c r="Y27" s="2"/>
      <c r="Z27" s="2"/>
      <c r="AA27" s="38"/>
    </row>
    <row r="28" spans="1:27" ht="15" customHeight="1">
      <c r="A28" s="1" t="s">
        <v>122</v>
      </c>
      <c r="B28" s="4"/>
      <c r="C28" s="12"/>
      <c r="D28" s="61" t="str">
        <f>IF($A$2="English",_xlfn.XLOOKUP($A$15,Descriptions!$A:$A,Descriptions!$B:$B),_xlfn.XLOOKUP($A$15,Descriptions!$A:$A,Descriptions!$C:$C))</f>
        <v>Vav 3</v>
      </c>
      <c r="E28" s="61"/>
      <c r="F28" s="62">
        <f>SUM(F29:F34)</f>
        <v>0</v>
      </c>
      <c r="G28" s="2"/>
      <c r="H28" s="2"/>
      <c r="I28" s="2"/>
      <c r="J28" s="2"/>
      <c r="K28" s="2"/>
      <c r="L28" s="2"/>
      <c r="M28" s="2"/>
      <c r="N28" s="2"/>
      <c r="O28" s="2"/>
      <c r="P28" s="2"/>
      <c r="Q28" s="2"/>
      <c r="R28" s="2"/>
      <c r="S28" s="2"/>
      <c r="T28" s="2"/>
      <c r="U28" s="2"/>
      <c r="V28" s="2"/>
      <c r="W28" s="2"/>
      <c r="X28" s="2"/>
      <c r="Y28" s="2"/>
      <c r="Z28" s="2"/>
      <c r="AA28" s="38"/>
    </row>
    <row r="29" spans="1:27" ht="15" customHeight="1">
      <c r="A29" s="1" t="s">
        <v>163</v>
      </c>
      <c r="B29" s="4"/>
      <c r="C29" s="12"/>
      <c r="D29" s="63" t="str">
        <f>IF($A$2="English",_xlfn.XLOOKUP($A$15,Descriptions!$A:$A,Descriptions!$B:$B),_xlfn.XLOOKUP($A$15,Descriptions!$A:$A,Descriptions!$C:$C))</f>
        <v>Vav 3</v>
      </c>
      <c r="E29" s="64" t="str">
        <f>IF($A$2="English",_xlfn.XLOOKUP($A$21,Descriptions!$A:$A,Descriptions!$B:$B),_xlfn.XLOOKUP($A$21,Descriptions!$A:$A,Descriptions!$C:$C))</f>
        <v>Vav 3 - Rávøruveiting og -flutningur</v>
      </c>
      <c r="F29" s="56">
        <f>J99</f>
        <v>0</v>
      </c>
      <c r="G29" s="2"/>
      <c r="H29" s="2"/>
      <c r="I29" s="2"/>
      <c r="J29" s="2"/>
      <c r="K29" s="2"/>
      <c r="L29" s="2"/>
      <c r="M29" s="2"/>
      <c r="N29" s="2"/>
      <c r="O29" s="2"/>
      <c r="P29" s="2"/>
      <c r="Q29" s="2"/>
      <c r="R29" s="2"/>
      <c r="S29" s="2"/>
      <c r="T29" s="2"/>
      <c r="U29" s="2"/>
      <c r="V29" s="2"/>
      <c r="W29" s="2"/>
      <c r="X29" s="2"/>
      <c r="Y29" s="2"/>
      <c r="Z29" s="2"/>
      <c r="AA29" s="38"/>
    </row>
    <row r="30" spans="1:27" ht="15" customHeight="1">
      <c r="B30" s="4"/>
      <c r="C30" s="12"/>
      <c r="D30" s="63" t="str">
        <f>IF($A$2="English",_xlfn.XLOOKUP($A$15,Descriptions!$A:$A,Descriptions!$B:$B),_xlfn.XLOOKUP($A$15,Descriptions!$A:$A,Descriptions!$C:$C))</f>
        <v>Vav 3</v>
      </c>
      <c r="E30" s="64" t="str">
        <f>IF($A$2="English",_xlfn.XLOOKUP($A$22,Descriptions!$A:$A,Descriptions!$B:$B),_xlfn.XLOOKUP($A$22,Descriptions!$A:$A,Descriptions!$C:$C))</f>
        <v>Vav 3 - Liðugvøruveiting og -flutningur</v>
      </c>
      <c r="F30" s="56">
        <f>K99</f>
        <v>0</v>
      </c>
      <c r="G30" s="2"/>
      <c r="H30" s="2"/>
      <c r="I30" s="2"/>
      <c r="J30" s="2"/>
      <c r="K30" s="2"/>
      <c r="L30" s="2"/>
      <c r="M30" s="2"/>
      <c r="N30" s="2"/>
      <c r="O30" s="2"/>
      <c r="P30" s="2"/>
      <c r="Q30" s="2"/>
      <c r="R30" s="2"/>
      <c r="S30" s="2"/>
      <c r="T30" s="2"/>
      <c r="U30" s="2"/>
      <c r="V30" s="2"/>
      <c r="W30" s="2"/>
      <c r="X30" s="2"/>
      <c r="Y30" s="2"/>
      <c r="Z30" s="2"/>
      <c r="AA30" s="38"/>
    </row>
    <row r="31" spans="1:27" ht="15" customHeight="1">
      <c r="B31" s="4"/>
      <c r="C31" s="12"/>
      <c r="D31" s="63" t="str">
        <f>IF($A$2="English",_xlfn.XLOOKUP($A$15,Descriptions!$A:$A,Descriptions!$B:$B),_xlfn.XLOOKUP($A$15,Descriptions!$A:$A,Descriptions!$C:$C))</f>
        <v>Vav 3</v>
      </c>
      <c r="E31" s="64" t="str">
        <f>IF($A$2="English",_xlfn.XLOOKUP($A$23,Descriptions!$A:$A,Descriptions!$B:$B),_xlfn.XLOOKUP($A$23,Descriptions!$A:$A,Descriptions!$C:$C))</f>
        <v>Vav 3 - Arbeiðsferðing</v>
      </c>
      <c r="F31" s="56">
        <f>L99</f>
        <v>0</v>
      </c>
      <c r="G31" s="2"/>
      <c r="H31" s="2"/>
      <c r="I31" s="2"/>
      <c r="J31" s="2"/>
      <c r="K31" s="2"/>
      <c r="L31" s="2"/>
      <c r="M31" s="2"/>
      <c r="N31" s="2"/>
      <c r="O31" s="2"/>
      <c r="P31" s="2"/>
      <c r="Q31" s="2"/>
      <c r="R31" s="2"/>
      <c r="S31" s="2"/>
      <c r="T31" s="2"/>
      <c r="U31" s="2"/>
      <c r="V31" s="2"/>
      <c r="W31" s="2"/>
      <c r="X31" s="2"/>
      <c r="Y31" s="2"/>
      <c r="Z31" s="2"/>
      <c r="AA31" s="38"/>
    </row>
    <row r="32" spans="1:27" ht="15" customHeight="1">
      <c r="B32" s="4"/>
      <c r="C32" s="12"/>
      <c r="D32" s="63" t="str">
        <f>IF($A$2="English",_xlfn.XLOOKUP($A$15,Descriptions!$A:$A,Descriptions!$B:$B),_xlfn.XLOOKUP($A$15,Descriptions!$A:$A,Descriptions!$C:$C))</f>
        <v>Vav 3</v>
      </c>
      <c r="E32" s="64" t="str">
        <f>IF($A$2="English",_xlfn.XLOOKUP($A$24,Descriptions!$A:$A,Descriptions!$B:$B),_xlfn.XLOOKUP($A$24,Descriptions!$A:$A,Descriptions!$C:$C))</f>
        <v>Vav 3 - Starvsfólkaferðing</v>
      </c>
      <c r="F32" s="56">
        <f>M99</f>
        <v>0</v>
      </c>
      <c r="G32" s="2"/>
      <c r="H32" s="2"/>
      <c r="I32" s="2"/>
      <c r="J32" s="2"/>
      <c r="K32" s="2"/>
      <c r="L32" s="2"/>
      <c r="M32" s="2"/>
      <c r="N32" s="2"/>
      <c r="O32" s="2"/>
      <c r="P32" s="2"/>
      <c r="Q32" s="2"/>
      <c r="R32" s="2"/>
      <c r="S32" s="2"/>
      <c r="T32" s="2"/>
      <c r="U32" s="2"/>
      <c r="V32" s="2"/>
      <c r="W32" s="2"/>
      <c r="X32" s="2"/>
      <c r="Y32" s="2"/>
      <c r="Z32" s="2"/>
      <c r="AA32" s="38"/>
    </row>
    <row r="33" spans="2:27" ht="15" customHeight="1">
      <c r="B33" s="4"/>
      <c r="C33" s="12"/>
      <c r="D33" s="63" t="str">
        <f>IF($A$2="English",_xlfn.XLOOKUP($A$15,Descriptions!$A:$A,Descriptions!$B:$B),_xlfn.XLOOKUP($A$15,Descriptions!$A:$A,Descriptions!$C:$C))</f>
        <v>Vav 3</v>
      </c>
      <c r="E33" s="64" t="str">
        <f>IF($A$2="English",_xlfn.XLOOKUP($A$25,Descriptions!$A:$A,Descriptions!$B:$B),_xlfn.XLOOKUP($A$25,Descriptions!$A:$A,Descriptions!$C:$C))</f>
        <v>Vav 3 - Burturkast frá virksemi</v>
      </c>
      <c r="F33" s="56">
        <f>N99</f>
        <v>0</v>
      </c>
      <c r="G33" s="2"/>
      <c r="H33" s="2"/>
      <c r="I33" s="20"/>
      <c r="J33" s="20"/>
      <c r="K33" s="20"/>
      <c r="L33" s="20"/>
      <c r="M33" s="20"/>
      <c r="N33" s="20"/>
      <c r="O33" s="20"/>
      <c r="P33" s="20"/>
      <c r="Q33" s="20"/>
      <c r="R33" s="20"/>
      <c r="S33" s="20"/>
      <c r="T33" s="20"/>
      <c r="U33" s="20"/>
      <c r="V33" s="20"/>
      <c r="W33" s="2"/>
      <c r="X33" s="2"/>
      <c r="Y33" s="2"/>
      <c r="Z33" s="2"/>
      <c r="AA33" s="38"/>
    </row>
    <row r="34" spans="2:27" ht="14.25" customHeight="1">
      <c r="B34" s="4"/>
      <c r="C34" s="12"/>
      <c r="D34" s="63" t="str">
        <f>IF($A$2="English",_xlfn.XLOOKUP($A$15,Descriptions!$A:$A,Descriptions!$B:$B),_xlfn.XLOOKUP($A$15,Descriptions!$A:$A,Descriptions!$C:$C))</f>
        <v>Vav 3</v>
      </c>
      <c r="E34" s="64" t="str">
        <f>IF($A$2="English",_xlfn.XLOOKUP($A$26,Descriptions!$A:$A,Descriptions!$B:$B),_xlfn.XLOOKUP($A$26,Descriptions!$A:$A,Descriptions!$C:$C))</f>
        <v>Vav 3 - Virksemi tengt at brennievni og orku</v>
      </c>
      <c r="F34" s="56">
        <f>'V1 - Fuels (Stationary)'!Y62+'V1 - Fuels (Stationary)'!Y97+'V1 - Fuels (Mobile)'!Y62+'V1 - Fuels (Mobile)'!Y97+'V2 - Purchased Electricity'!Y62+'V2 - Purchased Electricity'!Y97+'V3 - Upstream Transport'!AA62+'V3 - Upstream Transport'!AA97+'V3 - Downstream Transport'!AA62+'V3 - Downstream Transport'!AA97+'V3 - Business Travel'!Y63+'V3 - Business Travel'!Y99+'V3 - Employee Commuting'!Y62+'V3 - Employee Commuting'!Y97</f>
        <v>0</v>
      </c>
      <c r="G34" s="2"/>
      <c r="H34" s="2"/>
      <c r="I34" s="20"/>
      <c r="J34" s="20"/>
      <c r="K34" s="20"/>
      <c r="L34" s="20"/>
      <c r="M34" s="20"/>
      <c r="N34" s="20"/>
      <c r="O34" s="20"/>
      <c r="P34" s="20"/>
      <c r="Q34" s="20"/>
      <c r="R34" s="20"/>
      <c r="S34" s="20"/>
      <c r="T34" s="20"/>
      <c r="U34" s="20"/>
      <c r="V34" s="20"/>
      <c r="W34" s="2"/>
      <c r="X34" s="2"/>
      <c r="Y34" s="2"/>
      <c r="Z34" s="2"/>
      <c r="AA34" s="38"/>
    </row>
    <row r="35" spans="2:27" ht="14.25" customHeight="1">
      <c r="B35" s="4"/>
      <c r="C35" s="12"/>
      <c r="E35" s="2"/>
      <c r="F35" s="2"/>
      <c r="G35" s="2"/>
      <c r="H35" s="2"/>
      <c r="I35" s="20"/>
      <c r="J35" s="20"/>
      <c r="K35" s="20"/>
      <c r="L35" s="20"/>
      <c r="M35" s="20"/>
      <c r="N35" s="20"/>
      <c r="O35" s="20"/>
      <c r="P35" s="20"/>
      <c r="Q35" s="20"/>
      <c r="R35" s="20"/>
      <c r="S35" s="20"/>
      <c r="T35" s="20"/>
      <c r="U35" s="20"/>
      <c r="V35" s="20"/>
      <c r="W35" s="2"/>
      <c r="X35" s="2"/>
      <c r="Y35" s="2"/>
      <c r="Z35" s="2"/>
      <c r="AA35" s="38"/>
    </row>
    <row r="36" spans="2:27" ht="14.25" customHeight="1">
      <c r="B36" s="4"/>
      <c r="C36" s="12"/>
      <c r="D36" s="2"/>
      <c r="E36" s="2"/>
      <c r="F36" s="2"/>
      <c r="G36" s="2"/>
      <c r="H36" s="2"/>
      <c r="I36" s="20"/>
      <c r="J36" s="20"/>
      <c r="K36" s="20"/>
      <c r="L36" s="20"/>
      <c r="M36" s="20"/>
      <c r="N36" s="20"/>
      <c r="O36" s="20"/>
      <c r="P36" s="20"/>
      <c r="Q36" s="20"/>
      <c r="R36" s="20"/>
      <c r="S36" s="20"/>
      <c r="T36" s="20"/>
      <c r="U36" s="20"/>
      <c r="V36" s="20"/>
      <c r="W36" s="9"/>
      <c r="X36" s="2"/>
      <c r="Y36" s="2"/>
      <c r="Z36" s="2"/>
      <c r="AA36" s="38"/>
    </row>
    <row r="37" spans="2:27" ht="14.25" customHeight="1">
      <c r="B37" s="4"/>
      <c r="C37" s="12"/>
      <c r="D37" s="2"/>
      <c r="E37" s="2"/>
      <c r="F37" s="2"/>
      <c r="G37" s="2"/>
      <c r="H37" s="2"/>
      <c r="I37" s="20"/>
      <c r="J37" s="20"/>
      <c r="K37" s="20"/>
      <c r="L37" s="20"/>
      <c r="M37" s="20"/>
      <c r="N37" s="20"/>
      <c r="O37" s="20"/>
      <c r="P37" s="20"/>
      <c r="Q37" s="20"/>
      <c r="R37" s="20"/>
      <c r="S37" s="20"/>
      <c r="T37" s="20"/>
      <c r="U37" s="20"/>
      <c r="V37" s="20"/>
      <c r="W37" s="9"/>
      <c r="X37" s="2"/>
      <c r="Y37" s="2"/>
      <c r="Z37" s="2"/>
      <c r="AA37" s="38"/>
    </row>
    <row r="38" spans="2:27" ht="14.25" customHeight="1">
      <c r="B38" s="4"/>
      <c r="C38" s="12"/>
      <c r="D38" s="2"/>
      <c r="E38" s="2"/>
      <c r="F38" s="2"/>
      <c r="G38" s="2"/>
      <c r="H38" s="2"/>
      <c r="I38" s="20"/>
      <c r="J38" s="20"/>
      <c r="K38" s="20"/>
      <c r="L38" s="20"/>
      <c r="M38" s="20"/>
      <c r="N38" s="20"/>
      <c r="O38" s="20"/>
      <c r="P38" s="20"/>
      <c r="Q38" s="20"/>
      <c r="R38" s="20"/>
      <c r="S38" s="20"/>
      <c r="T38" s="20"/>
      <c r="U38" s="20"/>
      <c r="V38" s="20"/>
      <c r="W38" s="9"/>
      <c r="X38" s="2"/>
      <c r="Y38" s="2"/>
      <c r="Z38" s="2"/>
      <c r="AA38" s="38"/>
    </row>
    <row r="39" spans="2:27" ht="14.25" customHeight="1">
      <c r="B39" s="4"/>
      <c r="C39" s="12"/>
      <c r="D39" s="2"/>
      <c r="E39" s="2"/>
      <c r="F39" s="2"/>
      <c r="G39" s="2"/>
      <c r="H39" s="2"/>
      <c r="I39" s="9"/>
      <c r="J39" s="9"/>
      <c r="K39" s="18" t="str">
        <f>E22</f>
        <v>Vav 1 - Brennievni - brenning á føstum skipanum</v>
      </c>
      <c r="L39" s="18" t="str">
        <f>E23</f>
        <v>Vav 1 - Brennievni - brenning á flytførum skipanum</v>
      </c>
      <c r="M39" s="18" t="str">
        <f>E24</f>
        <v>Vav 1 - Kølievni</v>
      </c>
      <c r="N39" s="18" t="str">
        <f>E26</f>
        <v>Vav 2 - Keypt el</v>
      </c>
      <c r="O39" s="18" t="str">
        <f>E27</f>
        <v>Vav 2 - Fjarhiti</v>
      </c>
      <c r="P39" s="18" t="str">
        <f>E29</f>
        <v>Vav 3 - Rávøruveiting og -flutningur</v>
      </c>
      <c r="Q39" s="18" t="str">
        <f>E30</f>
        <v>Vav 3 - Liðugvøruveiting og -flutningur</v>
      </c>
      <c r="R39" s="18" t="str">
        <f>E31</f>
        <v>Vav 3 - Arbeiðsferðing</v>
      </c>
      <c r="S39" s="18" t="str">
        <f>E32</f>
        <v>Vav 3 - Starvsfólkaferðing</v>
      </c>
      <c r="T39" s="18" t="str">
        <f>E33</f>
        <v>Vav 3 - Burturkast frá virksemi</v>
      </c>
      <c r="U39" s="9" t="str">
        <f>E34</f>
        <v>Vav 3 - Virksemi tengt at brennievni og orku</v>
      </c>
      <c r="V39" s="9"/>
      <c r="W39" s="9"/>
      <c r="X39" s="2"/>
      <c r="Y39" s="2"/>
      <c r="Z39" s="2"/>
      <c r="AA39" s="38"/>
    </row>
    <row r="40" spans="2:27" ht="14.25" customHeight="1">
      <c r="B40" s="4"/>
      <c r="C40" s="12"/>
      <c r="D40" s="2"/>
      <c r="E40" s="2"/>
      <c r="F40" s="2"/>
      <c r="G40" s="2"/>
      <c r="H40" s="2"/>
      <c r="I40" s="9"/>
      <c r="J40" s="9" t="s">
        <v>147</v>
      </c>
      <c r="K40" s="19">
        <f>_xlfn.XLOOKUP(K39,$E$22:$E$24,$F$22:$F$24)</f>
        <v>0</v>
      </c>
      <c r="L40" s="19">
        <f>_xlfn.XLOOKUP(L39,$E$22:$E$24,$F$22:$F$24)</f>
        <v>0</v>
      </c>
      <c r="M40" s="19">
        <f>_xlfn.XLOOKUP(M39,$E$22:$E$24,$F$22:$F$24)</f>
        <v>0</v>
      </c>
      <c r="N40" s="19"/>
      <c r="O40" s="19"/>
      <c r="P40" s="19"/>
      <c r="Q40" s="19"/>
      <c r="R40" s="19"/>
      <c r="S40" s="19"/>
      <c r="T40" s="19"/>
      <c r="U40" s="19"/>
      <c r="V40" s="19"/>
      <c r="W40" s="19"/>
      <c r="X40" s="42"/>
      <c r="Y40" s="42"/>
      <c r="Z40" s="42"/>
      <c r="AA40" s="38"/>
    </row>
    <row r="41" spans="2:27" ht="14.25" customHeight="1">
      <c r="B41" s="4"/>
      <c r="C41" s="12"/>
      <c r="D41" s="2"/>
      <c r="E41" s="2"/>
      <c r="F41" s="2"/>
      <c r="G41" s="2"/>
      <c r="H41" s="2"/>
      <c r="I41" s="9"/>
      <c r="J41" s="9" t="s">
        <v>151</v>
      </c>
      <c r="K41" s="19"/>
      <c r="L41" s="19"/>
      <c r="M41" s="19"/>
      <c r="N41" s="19">
        <f>_xlfn.XLOOKUP(N39,$E$26:$E$27,$F$26:$F$27)</f>
        <v>0</v>
      </c>
      <c r="O41" s="19">
        <f>_xlfn.XLOOKUP(O39,$E$26:$E$27,$F$26:$F$27)</f>
        <v>0</v>
      </c>
      <c r="P41" s="19"/>
      <c r="Q41" s="19"/>
      <c r="R41" s="19"/>
      <c r="S41" s="19"/>
      <c r="T41" s="19"/>
      <c r="U41" s="19"/>
      <c r="V41" s="19"/>
      <c r="W41" s="19"/>
      <c r="X41" s="42"/>
      <c r="Y41" s="42"/>
      <c r="Z41" s="42"/>
      <c r="AA41" s="38"/>
    </row>
    <row r="42" spans="2:27" ht="14.25" customHeight="1">
      <c r="B42" s="4"/>
      <c r="C42" s="12"/>
      <c r="D42" s="2"/>
      <c r="E42" s="2"/>
      <c r="F42" s="2"/>
      <c r="G42" s="2"/>
      <c r="H42" s="2"/>
      <c r="I42" s="9"/>
      <c r="J42" s="9" t="s">
        <v>149</v>
      </c>
      <c r="K42" s="19"/>
      <c r="L42" s="19"/>
      <c r="M42" s="19"/>
      <c r="N42" s="19"/>
      <c r="O42" s="19"/>
      <c r="P42" s="19">
        <f t="shared" ref="P42:U42" si="1">_xlfn.XLOOKUP(P39,$E$29:$E$34,$F$29:$F$34)</f>
        <v>0</v>
      </c>
      <c r="Q42" s="19">
        <f t="shared" si="1"/>
        <v>0</v>
      </c>
      <c r="R42" s="19">
        <f t="shared" si="1"/>
        <v>0</v>
      </c>
      <c r="S42" s="19">
        <f t="shared" si="1"/>
        <v>0</v>
      </c>
      <c r="T42" s="19">
        <f t="shared" si="1"/>
        <v>0</v>
      </c>
      <c r="U42" s="19">
        <f t="shared" si="1"/>
        <v>0</v>
      </c>
      <c r="V42" s="19"/>
      <c r="W42" s="19"/>
      <c r="X42" s="42"/>
      <c r="Y42" s="42"/>
      <c r="Z42" s="42"/>
      <c r="AA42" s="38"/>
    </row>
    <row r="43" spans="2:27" ht="14.25" customHeight="1">
      <c r="B43" s="4"/>
      <c r="C43" s="12"/>
      <c r="D43" s="2"/>
      <c r="E43" s="2"/>
      <c r="F43" s="2"/>
      <c r="G43" s="2"/>
      <c r="H43" s="2"/>
      <c r="I43" s="9"/>
      <c r="J43" s="9"/>
      <c r="K43" s="9"/>
      <c r="L43" s="9"/>
      <c r="M43" s="9"/>
      <c r="N43" s="9"/>
      <c r="O43" s="9"/>
      <c r="P43" s="9"/>
      <c r="Q43" s="9"/>
      <c r="R43" s="9"/>
      <c r="S43" s="9"/>
      <c r="T43" s="9"/>
      <c r="U43" s="9"/>
      <c r="V43" s="9"/>
      <c r="W43" s="9"/>
      <c r="X43" s="2"/>
      <c r="Y43" s="2"/>
      <c r="Z43" s="2"/>
      <c r="AA43" s="38"/>
    </row>
    <row r="44" spans="2:27" ht="14.25" customHeight="1">
      <c r="B44" s="4"/>
      <c r="C44" s="12"/>
      <c r="D44" s="2"/>
      <c r="E44" s="2"/>
      <c r="F44" s="2"/>
      <c r="G44" s="2"/>
      <c r="H44" s="2"/>
      <c r="I44" s="9"/>
      <c r="J44" s="9"/>
      <c r="K44" s="9"/>
      <c r="L44" s="9"/>
      <c r="M44" s="9"/>
      <c r="N44" s="9"/>
      <c r="O44" s="9"/>
      <c r="P44" s="9"/>
      <c r="Q44" s="9"/>
      <c r="R44" s="9"/>
      <c r="S44" s="9"/>
      <c r="T44" s="9"/>
      <c r="U44" s="9"/>
      <c r="V44" s="9"/>
      <c r="W44" s="9"/>
      <c r="X44" s="2"/>
      <c r="Y44" s="2"/>
      <c r="Z44" s="2"/>
      <c r="AA44" s="38"/>
    </row>
    <row r="45" spans="2:27" ht="14.25" customHeight="1">
      <c r="B45" s="4"/>
      <c r="C45" s="12"/>
      <c r="D45" s="2"/>
      <c r="E45" s="2"/>
      <c r="F45" s="2"/>
      <c r="G45" s="2"/>
      <c r="H45" s="2"/>
      <c r="I45" s="9"/>
      <c r="J45" s="20"/>
      <c r="K45" s="20"/>
      <c r="L45" s="20"/>
      <c r="M45" s="20"/>
      <c r="N45" s="20"/>
      <c r="O45" s="20"/>
      <c r="P45" s="20"/>
      <c r="Q45" s="20"/>
      <c r="R45" s="20"/>
      <c r="S45" s="20"/>
      <c r="T45" s="20"/>
      <c r="U45" s="20"/>
      <c r="V45" s="9"/>
      <c r="W45" s="2"/>
      <c r="X45" s="2"/>
      <c r="Y45" s="2"/>
      <c r="Z45" s="2"/>
      <c r="AA45" s="38"/>
    </row>
    <row r="46" spans="2:27" ht="14.25" customHeight="1">
      <c r="B46" s="4"/>
      <c r="C46" s="12"/>
      <c r="D46" s="2"/>
      <c r="E46" s="2"/>
      <c r="F46" s="2"/>
      <c r="G46" s="2"/>
      <c r="H46" s="2"/>
      <c r="I46" s="2"/>
      <c r="J46" s="20"/>
      <c r="K46" s="20"/>
      <c r="L46" s="20"/>
      <c r="M46" s="20"/>
      <c r="N46" s="20"/>
      <c r="O46" s="20"/>
      <c r="P46" s="20"/>
      <c r="Q46" s="20"/>
      <c r="R46" s="20"/>
      <c r="S46" s="20"/>
      <c r="T46" s="20"/>
      <c r="U46" s="20"/>
      <c r="V46" s="2"/>
      <c r="W46" s="2"/>
      <c r="X46" s="2"/>
      <c r="Y46" s="2"/>
      <c r="Z46" s="2"/>
      <c r="AA46" s="38"/>
    </row>
    <row r="47" spans="2:27" ht="14.25" customHeight="1">
      <c r="B47" s="4"/>
      <c r="C47" s="12"/>
      <c r="D47" s="2"/>
      <c r="E47" s="2"/>
      <c r="F47" s="2"/>
      <c r="G47" s="2"/>
      <c r="H47" s="2"/>
      <c r="I47" s="2"/>
      <c r="J47" s="20"/>
      <c r="K47" s="20"/>
      <c r="L47" s="20"/>
      <c r="M47" s="20"/>
      <c r="N47" s="20"/>
      <c r="O47" s="20"/>
      <c r="P47" s="20"/>
      <c r="Q47" s="20"/>
      <c r="R47" s="20"/>
      <c r="S47" s="20"/>
      <c r="T47" s="20"/>
      <c r="U47" s="20"/>
      <c r="V47" s="2"/>
      <c r="W47" s="2"/>
      <c r="X47" s="2"/>
      <c r="Y47" s="2"/>
      <c r="Z47" s="2"/>
      <c r="AA47" s="38"/>
    </row>
    <row r="48" spans="2:27" ht="14.25" customHeight="1">
      <c r="B48" s="4"/>
      <c r="C48" s="12"/>
      <c r="D48" s="2"/>
      <c r="E48" s="2"/>
      <c r="F48" s="2"/>
      <c r="G48" s="2"/>
      <c r="H48" s="2"/>
      <c r="I48" s="2"/>
      <c r="J48" s="20"/>
      <c r="K48" s="20"/>
      <c r="L48" s="20"/>
      <c r="M48" s="20"/>
      <c r="N48" s="20"/>
      <c r="O48" s="20"/>
      <c r="P48" s="20"/>
      <c r="Q48" s="20"/>
      <c r="R48" s="20"/>
      <c r="S48" s="20"/>
      <c r="T48" s="20"/>
      <c r="U48" s="20"/>
      <c r="V48" s="2"/>
      <c r="W48" s="2"/>
      <c r="X48" s="2"/>
      <c r="Y48" s="2"/>
      <c r="Z48" s="2"/>
      <c r="AA48" s="38"/>
    </row>
    <row r="49" spans="2:27" ht="14.25" customHeight="1">
      <c r="B49" s="4"/>
      <c r="C49" s="12"/>
      <c r="D49" s="2"/>
      <c r="E49" s="2"/>
      <c r="F49" s="2"/>
      <c r="G49" s="2"/>
      <c r="H49" s="2"/>
      <c r="I49" s="2"/>
      <c r="J49" s="20"/>
      <c r="K49" s="20"/>
      <c r="L49" s="20"/>
      <c r="M49" s="20"/>
      <c r="N49" s="20"/>
      <c r="O49" s="20"/>
      <c r="P49" s="20"/>
      <c r="Q49" s="20"/>
      <c r="R49" s="20"/>
      <c r="S49" s="20"/>
      <c r="T49" s="20"/>
      <c r="U49" s="20"/>
      <c r="V49" s="2"/>
      <c r="W49" s="2"/>
      <c r="X49" s="2"/>
      <c r="Y49" s="2"/>
      <c r="Z49" s="2"/>
      <c r="AA49" s="38"/>
    </row>
    <row r="50" spans="2:27" ht="14.25" customHeight="1">
      <c r="B50" s="4"/>
      <c r="C50" s="12"/>
      <c r="D50" s="2"/>
      <c r="E50" s="2"/>
      <c r="F50" s="2"/>
      <c r="G50" s="2"/>
      <c r="H50" s="2"/>
      <c r="I50" s="2"/>
      <c r="J50" s="20"/>
      <c r="K50" s="20"/>
      <c r="L50" s="20"/>
      <c r="M50" s="20"/>
      <c r="N50" s="20"/>
      <c r="O50" s="20"/>
      <c r="P50" s="20"/>
      <c r="Q50" s="20"/>
      <c r="R50" s="20"/>
      <c r="S50" s="20"/>
      <c r="T50" s="20"/>
      <c r="U50" s="20"/>
      <c r="V50" s="2"/>
      <c r="W50" s="2"/>
      <c r="X50" s="2"/>
      <c r="Y50" s="2"/>
      <c r="Z50" s="2"/>
      <c r="AA50" s="38"/>
    </row>
    <row r="51" spans="2:27" ht="14.25" customHeight="1">
      <c r="B51" s="4"/>
      <c r="C51" s="12"/>
      <c r="D51" s="2"/>
      <c r="E51" s="2"/>
      <c r="F51" s="2"/>
      <c r="G51" s="2"/>
      <c r="H51" s="2"/>
      <c r="I51" s="2"/>
      <c r="J51" s="20"/>
      <c r="K51" s="20"/>
      <c r="L51" s="20"/>
      <c r="M51" s="20"/>
      <c r="N51" s="20"/>
      <c r="O51" s="20"/>
      <c r="P51" s="20"/>
      <c r="Q51" s="20"/>
      <c r="R51" s="20"/>
      <c r="S51" s="20"/>
      <c r="T51" s="20"/>
      <c r="U51" s="20"/>
      <c r="V51" s="2"/>
      <c r="W51" s="2"/>
      <c r="X51" s="2"/>
      <c r="Y51" s="2"/>
      <c r="Z51" s="2"/>
      <c r="AA51" s="38"/>
    </row>
    <row r="52" spans="2:27" ht="14.25" customHeight="1">
      <c r="B52" s="4"/>
      <c r="C52" s="12"/>
      <c r="D52" s="2"/>
      <c r="E52" s="2"/>
      <c r="F52" s="2"/>
      <c r="G52" s="2"/>
      <c r="H52" s="2"/>
      <c r="I52" s="2"/>
      <c r="J52" s="20"/>
      <c r="K52" s="20"/>
      <c r="L52" s="20"/>
      <c r="M52" s="20"/>
      <c r="N52" s="20"/>
      <c r="O52" s="20"/>
      <c r="P52" s="20"/>
      <c r="Q52" s="20"/>
      <c r="R52" s="20"/>
      <c r="S52" s="20"/>
      <c r="T52" s="20"/>
      <c r="U52" s="20"/>
      <c r="V52" s="2"/>
      <c r="W52" s="2"/>
      <c r="X52" s="2"/>
      <c r="Y52" s="2"/>
      <c r="Z52" s="2"/>
      <c r="AA52" s="38"/>
    </row>
    <row r="53" spans="2:27" ht="14.25" customHeight="1">
      <c r="B53" s="4"/>
      <c r="C53" s="12"/>
      <c r="D53" s="2"/>
      <c r="E53" s="2"/>
      <c r="F53" s="2"/>
      <c r="G53" s="2"/>
      <c r="H53" s="2"/>
      <c r="I53" s="2"/>
      <c r="J53" s="20"/>
      <c r="K53" s="20"/>
      <c r="L53" s="20"/>
      <c r="M53" s="20"/>
      <c r="N53" s="20"/>
      <c r="O53" s="20"/>
      <c r="P53" s="20"/>
      <c r="Q53" s="20"/>
      <c r="R53" s="20"/>
      <c r="S53" s="20"/>
      <c r="T53" s="20"/>
      <c r="U53" s="20"/>
      <c r="V53" s="2"/>
      <c r="W53" s="2"/>
      <c r="X53" s="2"/>
      <c r="Y53" s="2"/>
      <c r="Z53" s="2"/>
      <c r="AA53" s="38"/>
    </row>
    <row r="54" spans="2:27" ht="14.25" customHeight="1">
      <c r="B54" s="4"/>
      <c r="C54" s="12"/>
      <c r="D54" s="2"/>
      <c r="E54" s="2"/>
      <c r="F54" s="2"/>
      <c r="G54" s="2"/>
      <c r="H54" s="2"/>
      <c r="I54" s="2"/>
      <c r="J54" s="20"/>
      <c r="K54" s="20"/>
      <c r="L54" s="20"/>
      <c r="M54" s="20"/>
      <c r="N54" s="20"/>
      <c r="O54" s="20"/>
      <c r="P54" s="20"/>
      <c r="Q54" s="20"/>
      <c r="R54" s="20"/>
      <c r="S54" s="20"/>
      <c r="T54" s="20"/>
      <c r="U54" s="20"/>
      <c r="V54" s="2"/>
      <c r="W54" s="2"/>
      <c r="X54" s="2"/>
      <c r="Y54" s="2"/>
      <c r="Z54" s="2"/>
      <c r="AA54" s="38"/>
    </row>
    <row r="55" spans="2:27" ht="14.25" customHeight="1">
      <c r="B55" s="4"/>
      <c r="C55" s="12"/>
      <c r="D55" s="2"/>
      <c r="E55" s="2"/>
      <c r="F55" s="2"/>
      <c r="G55" s="2"/>
      <c r="H55" s="2"/>
      <c r="I55" s="2"/>
      <c r="J55" s="20"/>
      <c r="K55" s="20"/>
      <c r="L55" s="20"/>
      <c r="M55" s="20"/>
      <c r="N55" s="20"/>
      <c r="O55" s="20"/>
      <c r="P55" s="20"/>
      <c r="Q55" s="20"/>
      <c r="R55" s="20"/>
      <c r="S55" s="20"/>
      <c r="T55" s="20"/>
      <c r="U55" s="20"/>
      <c r="V55" s="2"/>
      <c r="W55" s="2"/>
      <c r="X55" s="2"/>
      <c r="Y55" s="2"/>
      <c r="Z55" s="2"/>
      <c r="AA55" s="38"/>
    </row>
    <row r="56" spans="2:27" ht="14.25" customHeight="1">
      <c r="B56" s="4"/>
      <c r="C56" s="12"/>
      <c r="D56" s="2"/>
      <c r="E56" s="2"/>
      <c r="F56" s="2"/>
      <c r="G56" s="2"/>
      <c r="H56" s="2"/>
      <c r="I56" s="2"/>
      <c r="J56" s="20"/>
      <c r="K56" s="20"/>
      <c r="L56" s="20"/>
      <c r="M56" s="20"/>
      <c r="N56" s="20"/>
      <c r="O56" s="20"/>
      <c r="P56" s="20"/>
      <c r="Q56" s="20"/>
      <c r="R56" s="20"/>
      <c r="S56" s="20"/>
      <c r="T56" s="20"/>
      <c r="U56" s="20"/>
      <c r="V56" s="2"/>
      <c r="W56" s="2"/>
      <c r="X56" s="2"/>
      <c r="Y56" s="2"/>
      <c r="Z56" s="2"/>
      <c r="AA56" s="38"/>
    </row>
    <row r="57" spans="2:27" ht="14.25" customHeight="1">
      <c r="B57" s="4"/>
      <c r="C57" s="12"/>
      <c r="D57" s="2"/>
      <c r="E57" s="2"/>
      <c r="F57" s="2"/>
      <c r="G57" s="2"/>
      <c r="H57" s="2"/>
      <c r="I57" s="2"/>
      <c r="J57" s="20"/>
      <c r="K57" s="20"/>
      <c r="L57" s="20"/>
      <c r="M57" s="20"/>
      <c r="N57" s="20"/>
      <c r="O57" s="20"/>
      <c r="P57" s="20"/>
      <c r="Q57" s="20"/>
      <c r="R57" s="20"/>
      <c r="S57" s="20"/>
      <c r="T57" s="20"/>
      <c r="U57" s="20"/>
      <c r="V57" s="2"/>
      <c r="W57" s="2"/>
      <c r="X57" s="2"/>
      <c r="Y57" s="2"/>
      <c r="Z57" s="2"/>
      <c r="AA57" s="38"/>
    </row>
    <row r="58" spans="2:27" ht="14.25" customHeight="1">
      <c r="B58" s="4"/>
      <c r="C58" s="12"/>
      <c r="D58" s="2"/>
      <c r="E58" s="2"/>
      <c r="F58" s="2"/>
      <c r="G58" s="2"/>
      <c r="H58" s="2"/>
      <c r="I58" s="2"/>
      <c r="J58" s="2"/>
      <c r="K58" s="2"/>
      <c r="L58" s="2"/>
      <c r="M58" s="2"/>
      <c r="N58" s="2"/>
      <c r="O58" s="2"/>
      <c r="P58" s="2"/>
      <c r="Q58" s="2"/>
      <c r="R58" s="2"/>
      <c r="S58" s="2"/>
      <c r="T58" s="2"/>
      <c r="U58" s="2"/>
      <c r="V58" s="2"/>
      <c r="W58" s="2"/>
      <c r="X58" s="2"/>
      <c r="Y58" s="2"/>
      <c r="Z58" s="2"/>
      <c r="AA58" s="38"/>
    </row>
    <row r="59" spans="2:27" ht="14.25" customHeight="1">
      <c r="B59" s="4"/>
      <c r="C59" s="12"/>
      <c r="D59" s="2"/>
      <c r="E59" s="2"/>
      <c r="F59" s="2"/>
      <c r="G59" s="2"/>
      <c r="H59" s="2"/>
      <c r="I59" s="2"/>
      <c r="J59" s="2"/>
      <c r="K59" s="2"/>
      <c r="L59" s="2"/>
      <c r="M59" s="2"/>
      <c r="N59" s="2"/>
      <c r="O59" s="2"/>
      <c r="P59" s="2"/>
      <c r="Q59" s="2"/>
      <c r="R59" s="2"/>
      <c r="S59" s="2"/>
      <c r="T59" s="2"/>
      <c r="U59" s="2"/>
      <c r="V59" s="2"/>
      <c r="W59" s="2"/>
      <c r="X59" s="2"/>
      <c r="Y59" s="2"/>
      <c r="Z59" s="2"/>
      <c r="AA59" s="38"/>
    </row>
    <row r="60" spans="2:27" ht="14.25" customHeight="1">
      <c r="B60" s="4"/>
      <c r="C60" s="12"/>
      <c r="D60" s="2"/>
      <c r="E60" s="2"/>
      <c r="F60" s="2"/>
      <c r="G60" s="2"/>
      <c r="H60" s="2"/>
      <c r="I60" s="2"/>
      <c r="J60" s="2"/>
      <c r="K60" s="2"/>
      <c r="L60" s="2"/>
      <c r="M60" s="2"/>
      <c r="N60" s="2"/>
      <c r="O60" s="2"/>
      <c r="P60" s="2"/>
      <c r="Q60" s="2"/>
      <c r="R60" s="2"/>
      <c r="S60" s="2"/>
      <c r="T60" s="2"/>
      <c r="U60" s="2"/>
      <c r="V60" s="2"/>
      <c r="W60" s="2"/>
      <c r="X60" s="2"/>
      <c r="Y60" s="2"/>
      <c r="Z60" s="2"/>
      <c r="AA60" s="38"/>
    </row>
    <row r="61" spans="2:27" ht="14.25" customHeight="1">
      <c r="B61" s="4"/>
      <c r="C61" s="12"/>
      <c r="D61" s="2"/>
      <c r="E61" s="2"/>
      <c r="F61" s="2"/>
      <c r="G61" s="2"/>
      <c r="H61" s="2"/>
      <c r="I61" s="2"/>
      <c r="J61" s="2"/>
      <c r="K61" s="2"/>
      <c r="L61" s="2"/>
      <c r="M61" s="2"/>
      <c r="N61" s="2"/>
      <c r="O61" s="2"/>
      <c r="P61" s="2"/>
      <c r="Q61" s="2"/>
      <c r="R61" s="2"/>
      <c r="S61" s="2"/>
      <c r="T61" s="2"/>
      <c r="U61" s="2"/>
      <c r="V61" s="2"/>
      <c r="W61" s="2"/>
      <c r="X61" s="2"/>
      <c r="Y61" s="2"/>
      <c r="Z61" s="2"/>
      <c r="AA61" s="38"/>
    </row>
    <row r="62" spans="2:27" ht="14.25" customHeight="1">
      <c r="B62" s="4"/>
      <c r="C62" s="12"/>
      <c r="D62" s="2"/>
      <c r="E62" s="2"/>
      <c r="F62" s="2"/>
      <c r="G62" s="2"/>
      <c r="H62" s="2"/>
      <c r="I62" s="2"/>
      <c r="J62" s="2"/>
      <c r="K62" s="2"/>
      <c r="L62" s="2"/>
      <c r="M62" s="2"/>
      <c r="N62" s="2"/>
      <c r="O62" s="2"/>
      <c r="P62" s="2"/>
      <c r="Q62" s="2"/>
      <c r="R62" s="2"/>
      <c r="S62" s="2"/>
      <c r="T62" s="2"/>
      <c r="U62" s="2"/>
      <c r="V62" s="2"/>
      <c r="W62" s="2"/>
      <c r="X62" s="2"/>
      <c r="Y62" s="2"/>
      <c r="Z62" s="2"/>
      <c r="AA62" s="38"/>
    </row>
    <row r="63" spans="2:27" ht="14.25" customHeight="1">
      <c r="B63" s="4"/>
      <c r="C63" s="12"/>
      <c r="E63" s="2"/>
      <c r="F63" s="2"/>
      <c r="G63" s="2"/>
      <c r="H63" s="2"/>
      <c r="I63" s="2"/>
      <c r="J63" s="2"/>
      <c r="K63" s="2"/>
      <c r="L63" s="2"/>
      <c r="M63" s="2"/>
      <c r="N63" s="2"/>
      <c r="O63" s="2"/>
      <c r="P63" s="2"/>
      <c r="Q63" s="2"/>
      <c r="R63" s="2"/>
      <c r="S63" s="2"/>
      <c r="T63" s="2"/>
      <c r="U63" s="2"/>
      <c r="V63" s="2"/>
      <c r="W63" s="2"/>
      <c r="X63" s="2"/>
      <c r="Y63" s="2"/>
      <c r="Z63" s="2"/>
      <c r="AA63" s="38"/>
    </row>
    <row r="64" spans="2:27" ht="14.25" customHeight="1">
      <c r="B64" s="4"/>
      <c r="C64" s="12"/>
      <c r="E64" s="2"/>
      <c r="F64" s="2"/>
      <c r="G64" s="2"/>
      <c r="H64" s="2"/>
      <c r="I64" s="2"/>
      <c r="J64" s="2"/>
      <c r="K64" s="2"/>
      <c r="L64" s="2"/>
      <c r="M64" s="2"/>
      <c r="N64" s="2"/>
      <c r="O64" s="2"/>
      <c r="P64" s="2"/>
      <c r="Q64" s="2"/>
      <c r="R64" s="2"/>
      <c r="S64" s="2"/>
      <c r="T64" s="2"/>
      <c r="U64" s="2"/>
      <c r="V64" s="2"/>
      <c r="W64" s="2"/>
      <c r="X64" s="2"/>
      <c r="Y64" s="2"/>
      <c r="Z64" s="2"/>
      <c r="AA64" s="38"/>
    </row>
    <row r="65" spans="2:27" ht="14.25" customHeight="1">
      <c r="B65" s="4"/>
      <c r="C65" s="12"/>
      <c r="D65" s="2"/>
      <c r="E65" s="2"/>
      <c r="F65" s="2"/>
      <c r="G65" s="2"/>
      <c r="H65" s="2"/>
      <c r="I65" s="2"/>
      <c r="J65" s="2"/>
      <c r="K65" s="2"/>
      <c r="L65" s="2"/>
      <c r="M65" s="2"/>
      <c r="N65" s="2"/>
      <c r="O65" s="2"/>
      <c r="P65" s="2"/>
      <c r="Q65" s="2"/>
      <c r="R65" s="2"/>
      <c r="S65" s="2"/>
      <c r="T65" s="2"/>
      <c r="U65" s="2"/>
      <c r="V65" s="2"/>
      <c r="W65" s="2"/>
      <c r="X65" s="2"/>
      <c r="Y65" s="2"/>
      <c r="Z65" s="2"/>
      <c r="AA65" s="38"/>
    </row>
    <row r="66" spans="2:27" ht="14.25" customHeight="1">
      <c r="B66" s="4"/>
      <c r="C66" s="12"/>
      <c r="D66" s="7"/>
      <c r="E66" s="2"/>
      <c r="F66" s="2"/>
      <c r="G66" s="2"/>
      <c r="H66" s="2"/>
      <c r="I66" s="2"/>
      <c r="J66" s="2"/>
      <c r="K66" s="2"/>
      <c r="L66" s="2"/>
      <c r="M66" s="2"/>
      <c r="N66" s="2"/>
      <c r="O66" s="2"/>
      <c r="P66" s="2"/>
      <c r="Q66" s="2"/>
      <c r="R66" s="2"/>
      <c r="S66" s="2"/>
      <c r="T66" s="2"/>
      <c r="U66" s="2"/>
      <c r="V66" s="2"/>
      <c r="W66" s="2"/>
      <c r="X66" s="2"/>
      <c r="Y66" s="2"/>
      <c r="Z66" s="2"/>
      <c r="AA66" s="38"/>
    </row>
    <row r="67" spans="2:27" ht="14.25" customHeight="1">
      <c r="B67" s="4"/>
      <c r="C67" s="12"/>
      <c r="D67" s="2"/>
      <c r="E67" s="2"/>
      <c r="F67" s="2"/>
      <c r="G67" s="2"/>
      <c r="H67" s="2"/>
      <c r="I67" s="2"/>
      <c r="J67" s="2"/>
      <c r="K67" s="2"/>
      <c r="L67" s="2"/>
      <c r="M67" s="2"/>
      <c r="N67" s="2"/>
      <c r="O67" s="2"/>
      <c r="P67" s="2"/>
      <c r="Q67" s="2"/>
      <c r="R67" s="2"/>
      <c r="S67" s="2"/>
      <c r="T67" s="2"/>
      <c r="U67" s="2"/>
      <c r="V67" s="2"/>
      <c r="W67" s="2"/>
      <c r="X67" s="2"/>
      <c r="Y67" s="2"/>
      <c r="Z67" s="2"/>
      <c r="AA67" s="38"/>
    </row>
    <row r="68" spans="2:27" ht="15" customHeight="1">
      <c r="B68" s="4"/>
      <c r="C68" s="12"/>
      <c r="P68" s="2"/>
      <c r="Q68" s="2"/>
      <c r="R68" s="2"/>
      <c r="S68" s="2"/>
      <c r="T68" s="2"/>
      <c r="U68" s="2"/>
      <c r="V68" s="2"/>
      <c r="W68" s="2"/>
      <c r="X68" s="2"/>
      <c r="Y68" s="2"/>
      <c r="Z68" s="2"/>
      <c r="AA68" s="38"/>
    </row>
    <row r="69" spans="2:27" ht="15" customHeight="1">
      <c r="B69" s="4"/>
      <c r="C69" s="12"/>
      <c r="P69" s="2"/>
      <c r="Q69" s="2"/>
      <c r="R69" s="2"/>
      <c r="S69" s="2"/>
      <c r="T69" s="2"/>
      <c r="U69" s="2"/>
      <c r="V69" s="2"/>
      <c r="W69" s="2"/>
      <c r="X69" s="2"/>
      <c r="Y69" s="2"/>
      <c r="Z69" s="2"/>
      <c r="AA69" s="38"/>
    </row>
    <row r="70" spans="2:27" ht="14.25" customHeight="1">
      <c r="B70" s="4"/>
      <c r="C70" s="12"/>
      <c r="P70" s="2"/>
      <c r="Q70" s="2"/>
      <c r="R70" s="2"/>
      <c r="S70" s="2"/>
      <c r="T70" s="2"/>
      <c r="U70" s="2"/>
      <c r="V70" s="2"/>
      <c r="W70" s="2"/>
      <c r="X70" s="2"/>
      <c r="Y70" s="2"/>
      <c r="Z70" s="2"/>
      <c r="AA70" s="38"/>
    </row>
    <row r="71" spans="2:27" ht="60" customHeight="1">
      <c r="B71" s="4"/>
      <c r="C71" s="12"/>
      <c r="D71" s="49" t="str">
        <f>IF($A$2="English",_xlfn.XLOOKUP($A$28,Descriptions!$A:$A,Descriptions!$B:$B),_xlfn.XLOOKUP($A$28,Descriptions!$A:$A,Descriptions!$C:$C))</f>
        <v>Fasilitetur/ogn og staðseting</v>
      </c>
      <c r="E71" s="48" t="str">
        <f>E22</f>
        <v>Vav 1 - Brennievni - brenning á føstum skipanum</v>
      </c>
      <c r="F71" s="48" t="str">
        <f>E23</f>
        <v>Vav 1 - Brennievni - brenning á flytførum skipanum</v>
      </c>
      <c r="G71" s="48" t="str">
        <f>E24</f>
        <v>Vav 1 - Kølievni</v>
      </c>
      <c r="H71" s="48" t="str">
        <f>E26</f>
        <v>Vav 2 - Keypt el</v>
      </c>
      <c r="I71" s="48" t="str">
        <f>E27</f>
        <v>Vav 2 - Fjarhiti</v>
      </c>
      <c r="J71" s="48" t="str">
        <f>E29</f>
        <v>Vav 3 - Rávøruveiting og -flutningur</v>
      </c>
      <c r="K71" s="48" t="str">
        <f>E30</f>
        <v>Vav 3 - Liðugvøruveiting og -flutningur</v>
      </c>
      <c r="L71" s="48" t="str">
        <f>E31</f>
        <v>Vav 3 - Arbeiðsferðing</v>
      </c>
      <c r="M71" s="48" t="str">
        <f>E32</f>
        <v>Vav 3 - Starvsfólkaferðing</v>
      </c>
      <c r="N71" s="48" t="str">
        <f>E33</f>
        <v>Vav 3 - Burturkast frá virksemi</v>
      </c>
      <c r="O71" s="48" t="str">
        <f>E34</f>
        <v>Vav 3 - Virksemi tengt at brennievni og orku</v>
      </c>
      <c r="P71" s="2"/>
      <c r="Q71" s="2"/>
      <c r="R71" s="2"/>
      <c r="S71" s="2"/>
      <c r="T71" s="2"/>
      <c r="U71" s="2"/>
      <c r="V71" s="2"/>
      <c r="W71" s="2"/>
      <c r="X71" s="2"/>
      <c r="Y71" s="2"/>
      <c r="Z71" s="2"/>
      <c r="AA71" s="38"/>
    </row>
    <row r="72" spans="2:27" ht="14.25" customHeight="1">
      <c r="B72" s="4"/>
      <c r="C72" s="12"/>
      <c r="D72" s="7" t="str" cm="1">
        <f t="array" ref="D72:D97">'Organisation Details'!G33:G58</f>
        <v>Alt - Alt</v>
      </c>
      <c r="E72" s="46">
        <f>SUMIFS('V1 - Fuels (Stationary)'!$P$31:$P$60,'V1 - Fuels (Stationary)'!$D$31:$D$60,Summary!D72)</f>
        <v>0</v>
      </c>
      <c r="F72" s="46">
        <f>SUMIFS('V1 - Fuels (Mobile)'!$P$31:$P$60,'V1 - Fuels (Mobile)'!$D$31:$D$60,Summary!D72)</f>
        <v>0</v>
      </c>
      <c r="G72" s="46">
        <f>SUMIFS('V1 - Refrigerants'!$O$31:$O$60,'V1 - Refrigerants'!$D$31:$D$60,Summary!D72)</f>
        <v>0</v>
      </c>
      <c r="H72" s="46">
        <f>SUMIFS('V2 - Purchased Electricity'!$P$31:$P$60,'V2 - Purchased Electricity'!$D$31:$D$60,Summary!D72)</f>
        <v>0</v>
      </c>
      <c r="I72" s="46">
        <f>SUMIFS('V2 - District Heating'!P31:P61,'V2 - District Heating'!D31:D61,Summary!D72)</f>
        <v>0</v>
      </c>
      <c r="J72" s="46">
        <f>SUMIFS('V3 - Upstream Transport'!$R$31:$R$60,'V3 - Upstream Transport'!$D$31:$D$60,Summary!D72)</f>
        <v>0</v>
      </c>
      <c r="K72" s="46">
        <f>SUMIFS('V3 - Downstream Transport'!$R$31:$R$60,'V3 - Downstream Transport'!$D$31:$D$60,Summary!D72)</f>
        <v>0</v>
      </c>
      <c r="L72" s="46">
        <f>SUMIFS('V3 - Business Travel'!$P$31:$P$61,'V3 - Business Travel'!$D$31:$D$61,Summary!D72)</f>
        <v>0</v>
      </c>
      <c r="M72" s="46">
        <f>SUMIFS('V3 - Employee Commuting'!$P$31:$P$60,'V3 - Employee Commuting'!$D$31:$D$60,Summary!D72)</f>
        <v>0</v>
      </c>
      <c r="N72" s="46">
        <f>SUMIFS('V3 - Waste Generated in Ops'!$P$31:$P$72,'V3 - Waste Generated in Ops'!$D$31:$D$72,Summary!D72)</f>
        <v>0</v>
      </c>
      <c r="O72" s="46">
        <f>SUMIFS('V1 - Fuels (Stationary)'!$Y$31:$Y$60,'V1 - Fuels (Stationary)'!$D$31:$D$60,Summary!D72)+SUMIFS('V1 - Fuels (Mobile)'!$Y$31:$Y$60,'V1 - Fuels (Mobile)'!$D$31:$D$60,Summary!D72)+SUMIFS('V2 - Purchased Electricity'!$Y$31:$Y$60,'V2 - Purchased Electricity'!$D$31:$D$60,Summary!D72)+SUMIFS('V3 - Upstream Transport'!$AA$31:$AA$60,'V3 - Upstream Transport'!$D$31:$D$60,Summary!D72)+SUMIFS('V3 - Downstream Transport'!$AA$31:$AA$60,'V3 - Downstream Transport'!$D$31:$D$60,Summary!D72)+SUMIFS('V3 - Business Travel'!$Y$31:$Y$61,'V3 - Business Travel'!$D$31:$D$61,Summary!D72)+SUMIFS('V3 - Employee Commuting'!$Y$31:$Y$60,'V3 - Employee Commuting'!$D$31:$D$60,Summary!D72)</f>
        <v>0</v>
      </c>
      <c r="P72" s="2"/>
      <c r="Q72" s="2"/>
      <c r="R72" s="2"/>
      <c r="S72" s="2"/>
      <c r="T72" s="2"/>
      <c r="U72" s="2"/>
      <c r="V72" s="2"/>
      <c r="W72" s="2"/>
      <c r="X72" s="2"/>
      <c r="Y72" s="2"/>
      <c r="Z72" s="2"/>
      <c r="AA72" s="38"/>
    </row>
    <row r="73" spans="2:27" ht="14.25" customHeight="1">
      <c r="B73" s="4"/>
      <c r="C73" s="12"/>
      <c r="D73" s="7" t="str">
        <v xml:space="preserve"> - </v>
      </c>
      <c r="E73" s="46">
        <f>SUMIFS('V1 - Fuels (Stationary)'!$P$31:$P$60,'V1 - Fuels (Stationary)'!$D$31:$D$60,Summary!D73)</f>
        <v>0</v>
      </c>
      <c r="F73" s="46">
        <f>SUMIFS('V1 - Fuels (Mobile)'!$P$31:$P$60,'V1 - Fuels (Mobile)'!$D$31:$D$60,Summary!D73)</f>
        <v>0</v>
      </c>
      <c r="G73" s="46">
        <f>SUMIFS('V1 - Refrigerants'!$O$31:$O$60,'V1 - Refrigerants'!$D$31:$D$60,Summary!D73)</f>
        <v>0</v>
      </c>
      <c r="H73" s="46">
        <f>SUMIFS('V2 - Purchased Electricity'!$P$31:$P$60,'V2 - Purchased Electricity'!$D$31:$D$60,Summary!D73)</f>
        <v>0</v>
      </c>
      <c r="I73" s="46">
        <f>SUMIFS('V2 - District Heating'!P32:P62,'V2 - District Heating'!D32:D62,Summary!D73)</f>
        <v>0</v>
      </c>
      <c r="J73" s="46">
        <f>SUMIFS('V3 - Upstream Transport'!$R$31:$R$60,'V3 - Upstream Transport'!$D$31:$D$60,Summary!D73)</f>
        <v>0</v>
      </c>
      <c r="K73" s="46">
        <f>SUMIFS('V3 - Downstream Transport'!$R$31:$R$60,'V3 - Downstream Transport'!$D$31:$D$60,Summary!D73)</f>
        <v>0</v>
      </c>
      <c r="L73" s="46">
        <f>SUMIFS('V3 - Business Travel'!$P$31:$P$61,'V3 - Business Travel'!$D$31:$D$61,Summary!D73)</f>
        <v>0</v>
      </c>
      <c r="M73" s="46">
        <f>SUMIFS('V3 - Employee Commuting'!$P$31:$P$60,'V3 - Employee Commuting'!$D$31:$D$60,Summary!D73)</f>
        <v>0</v>
      </c>
      <c r="N73" s="46">
        <f>SUMIFS('V3 - Waste Generated in Ops'!$P$31:$P$72,'V3 - Waste Generated in Ops'!$D$31:$D$72,Summary!D73)</f>
        <v>0</v>
      </c>
      <c r="O73" s="46">
        <f>SUMIFS('V1 - Fuels (Stationary)'!$Y$31:$Y$60,'V1 - Fuels (Stationary)'!$D$31:$D$60,Summary!D73)+SUMIFS('V1 - Fuels (Mobile)'!$Y$31:$Y$60,'V1 - Fuels (Mobile)'!$D$31:$D$60,Summary!D73)+SUMIFS('V2 - Purchased Electricity'!$Y$31:$Y$60,'V2 - Purchased Electricity'!$D$31:$D$60,Summary!D73)+SUMIFS('V3 - Upstream Transport'!$AA$31:$AA$60,'V3 - Upstream Transport'!$D$31:$D$60,Summary!D73)+SUMIFS('V3 - Downstream Transport'!$AA$31:$AA$60,'V3 - Downstream Transport'!$D$31:$D$60,Summary!D73)+SUMIFS('V3 - Business Travel'!$Y$31:$Y$61,'V3 - Business Travel'!$D$31:$D$61,Summary!D73)+SUMIFS('V3 - Employee Commuting'!$Y$31:$Y$60,'V3 - Employee Commuting'!$D$31:$D$60,Summary!D73)</f>
        <v>0</v>
      </c>
      <c r="P73" s="2"/>
      <c r="Q73" s="2"/>
      <c r="R73" s="2"/>
      <c r="S73" s="2"/>
      <c r="T73" s="2"/>
      <c r="U73" s="2"/>
      <c r="V73" s="2"/>
      <c r="W73" s="2"/>
      <c r="X73" s="2"/>
      <c r="Y73" s="2"/>
      <c r="Z73" s="2"/>
      <c r="AA73" s="38"/>
    </row>
    <row r="74" spans="2:27" ht="14.25" customHeight="1">
      <c r="B74" s="4"/>
      <c r="C74" s="12"/>
      <c r="D74" s="7" t="str">
        <v xml:space="preserve"> - </v>
      </c>
      <c r="E74" s="46">
        <f>SUMIFS('V1 - Fuels (Stationary)'!$P$31:$P$60,'V1 - Fuels (Stationary)'!$D$31:$D$60,Summary!D74)</f>
        <v>0</v>
      </c>
      <c r="F74" s="46">
        <f>SUMIFS('V1 - Fuels (Mobile)'!$P$31:$P$60,'V1 - Fuels (Mobile)'!$D$31:$D$60,Summary!D74)</f>
        <v>0</v>
      </c>
      <c r="G74" s="46">
        <f>SUMIFS('V1 - Refrigerants'!$O$31:$O$60,'V1 - Refrigerants'!$D$31:$D$60,Summary!D74)</f>
        <v>0</v>
      </c>
      <c r="H74" s="46">
        <f>SUMIFS('V2 - Purchased Electricity'!$P$31:$P$60,'V2 - Purchased Electricity'!$D$31:$D$60,Summary!D74)</f>
        <v>0</v>
      </c>
      <c r="I74" s="46">
        <f>SUMIFS('V2 - District Heating'!P33:P62,'V2 - District Heating'!D33:D62,Summary!D74)</f>
        <v>0</v>
      </c>
      <c r="J74" s="46">
        <f>SUMIFS('V3 - Upstream Transport'!$R$31:$R$60,'V3 - Upstream Transport'!$D$31:$D$60,Summary!D74)</f>
        <v>0</v>
      </c>
      <c r="K74" s="46">
        <f>SUMIFS('V3 - Downstream Transport'!$R$31:$R$60,'V3 - Downstream Transport'!$D$31:$D$60,Summary!D74)</f>
        <v>0</v>
      </c>
      <c r="L74" s="46">
        <f>SUMIFS('V3 - Business Travel'!$P$31:$P$61,'V3 - Business Travel'!$D$31:$D$61,Summary!D74)</f>
        <v>0</v>
      </c>
      <c r="M74" s="46">
        <f>SUMIFS('V3 - Employee Commuting'!$P$31:$P$60,'V3 - Employee Commuting'!$D$31:$D$60,Summary!D74)</f>
        <v>0</v>
      </c>
      <c r="N74" s="46">
        <f>SUMIFS('V3 - Waste Generated in Ops'!$P$31:$P$72,'V3 - Waste Generated in Ops'!$D$31:$D$72,Summary!D74)</f>
        <v>0</v>
      </c>
      <c r="O74" s="46">
        <f>SUMIFS('V1 - Fuels (Stationary)'!$Y$31:$Y$60,'V1 - Fuels (Stationary)'!$D$31:$D$60,Summary!D74)+SUMIFS('V1 - Fuels (Mobile)'!$Y$31:$Y$60,'V1 - Fuels (Mobile)'!$D$31:$D$60,Summary!D74)+SUMIFS('V2 - Purchased Electricity'!$Y$31:$Y$60,'V2 - Purchased Electricity'!$D$31:$D$60,Summary!D74)+SUMIFS('V3 - Upstream Transport'!$AA$31:$AA$60,'V3 - Upstream Transport'!$D$31:$D$60,Summary!D74)+SUMIFS('V3 - Downstream Transport'!$AA$31:$AA$60,'V3 - Downstream Transport'!$D$31:$D$60,Summary!D74)+SUMIFS('V3 - Business Travel'!$Y$31:$Y$61,'V3 - Business Travel'!$D$31:$D$61,Summary!D74)+SUMIFS('V3 - Employee Commuting'!$Y$31:$Y$60,'V3 - Employee Commuting'!$D$31:$D$60,Summary!D74)</f>
        <v>0</v>
      </c>
      <c r="P74" s="2"/>
      <c r="Q74" s="2"/>
      <c r="R74" s="2"/>
      <c r="S74" s="2"/>
      <c r="T74" s="2"/>
      <c r="U74" s="2"/>
      <c r="V74" s="2"/>
      <c r="W74" s="2"/>
      <c r="X74" s="2"/>
      <c r="Y74" s="2"/>
      <c r="Z74" s="2"/>
      <c r="AA74" s="38"/>
    </row>
    <row r="75" spans="2:27" ht="14.25" customHeight="1">
      <c r="B75" s="4"/>
      <c r="C75" s="12"/>
      <c r="D75" s="7" t="str">
        <v xml:space="preserve"> - </v>
      </c>
      <c r="E75" s="46">
        <f>SUMIFS('V1 - Fuels (Stationary)'!$P$31:$P$60,'V1 - Fuels (Stationary)'!$D$31:$D$60,Summary!D75)</f>
        <v>0</v>
      </c>
      <c r="F75" s="46">
        <f>SUMIFS('V1 - Fuels (Mobile)'!$P$31:$P$60,'V1 - Fuels (Mobile)'!$D$31:$D$60,Summary!D75)</f>
        <v>0</v>
      </c>
      <c r="G75" s="46">
        <f>SUMIFS('V1 - Refrigerants'!$O$31:$O$60,'V1 - Refrigerants'!$D$31:$D$60,Summary!D75)</f>
        <v>0</v>
      </c>
      <c r="H75" s="46">
        <f>SUMIFS('V2 - Purchased Electricity'!$P$31:$P$60,'V2 - Purchased Electricity'!$D$31:$D$60,Summary!D75)</f>
        <v>0</v>
      </c>
      <c r="I75" s="46">
        <f>SUMIFS('V2 - District Heating'!P34:P62,'V2 - District Heating'!D34:D62,Summary!D75)</f>
        <v>0</v>
      </c>
      <c r="J75" s="46">
        <f>SUMIFS('V3 - Upstream Transport'!$R$31:$R$60,'V3 - Upstream Transport'!$D$31:$D$60,Summary!D75)</f>
        <v>0</v>
      </c>
      <c r="K75" s="46">
        <f>SUMIFS('V3 - Downstream Transport'!$R$31:$R$60,'V3 - Downstream Transport'!$D$31:$D$60,Summary!D75)</f>
        <v>0</v>
      </c>
      <c r="L75" s="46">
        <f>SUMIFS('V3 - Business Travel'!$P$31:$P$61,'V3 - Business Travel'!$D$31:$D$61,Summary!D75)</f>
        <v>0</v>
      </c>
      <c r="M75" s="46">
        <f>SUMIFS('V3 - Employee Commuting'!$P$31:$P$60,'V3 - Employee Commuting'!$D$31:$D$60,Summary!D75)</f>
        <v>0</v>
      </c>
      <c r="N75" s="46">
        <f>SUMIFS('V3 - Waste Generated in Ops'!$P$31:$P$72,'V3 - Waste Generated in Ops'!$D$31:$D$72,Summary!D75)</f>
        <v>0</v>
      </c>
      <c r="O75" s="46">
        <f>SUMIFS('V1 - Fuels (Stationary)'!$Y$31:$Y$60,'V1 - Fuels (Stationary)'!$D$31:$D$60,Summary!D75)+SUMIFS('V1 - Fuels (Mobile)'!$Y$31:$Y$60,'V1 - Fuels (Mobile)'!$D$31:$D$60,Summary!D75)+SUMIFS('V2 - Purchased Electricity'!$Y$31:$Y$60,'V2 - Purchased Electricity'!$D$31:$D$60,Summary!D75)+SUMIFS('V3 - Upstream Transport'!$AA$31:$AA$60,'V3 - Upstream Transport'!$D$31:$D$60,Summary!D75)+SUMIFS('V3 - Downstream Transport'!$AA$31:$AA$60,'V3 - Downstream Transport'!$D$31:$D$60,Summary!D75)+SUMIFS('V3 - Business Travel'!$Y$31:$Y$61,'V3 - Business Travel'!$D$31:$D$61,Summary!D75)+SUMIFS('V3 - Employee Commuting'!$Y$31:$Y$60,'V3 - Employee Commuting'!$D$31:$D$60,Summary!D75)</f>
        <v>0</v>
      </c>
      <c r="P75" s="2"/>
      <c r="Q75" s="2"/>
      <c r="R75" s="2"/>
      <c r="S75" s="2"/>
      <c r="T75" s="2"/>
      <c r="U75" s="2"/>
      <c r="V75" s="2"/>
      <c r="W75" s="2"/>
      <c r="X75" s="2"/>
      <c r="Y75" s="2"/>
      <c r="Z75" s="2"/>
      <c r="AA75" s="38"/>
    </row>
    <row r="76" spans="2:27" ht="14.25" customHeight="1">
      <c r="B76" s="4"/>
      <c r="C76" s="12"/>
      <c r="D76" s="7" t="str">
        <v xml:space="preserve"> - </v>
      </c>
      <c r="E76" s="46">
        <f>SUMIFS('V1 - Fuels (Stationary)'!$P$31:$P$60,'V1 - Fuels (Stationary)'!$D$31:$D$60,Summary!D76)</f>
        <v>0</v>
      </c>
      <c r="F76" s="46">
        <f>SUMIFS('V1 - Fuels (Mobile)'!$P$31:$P$60,'V1 - Fuels (Mobile)'!$D$31:$D$60,Summary!D76)</f>
        <v>0</v>
      </c>
      <c r="G76" s="46">
        <f>SUMIFS('V1 - Refrigerants'!$O$31:$O$60,'V1 - Refrigerants'!$D$31:$D$60,Summary!D76)</f>
        <v>0</v>
      </c>
      <c r="H76" s="46">
        <f>SUMIFS('V2 - Purchased Electricity'!$P$31:$P$60,'V2 - Purchased Electricity'!$D$31:$D$60,Summary!D76)</f>
        <v>0</v>
      </c>
      <c r="I76" s="46">
        <f>SUMIFS('V2 - District Heating'!P35:P63,'V2 - District Heating'!D35:D63,Summary!D76)</f>
        <v>0</v>
      </c>
      <c r="J76" s="46">
        <f>SUMIFS('V3 - Upstream Transport'!$R$31:$R$60,'V3 - Upstream Transport'!$D$31:$D$60,Summary!D76)</f>
        <v>0</v>
      </c>
      <c r="K76" s="46">
        <f>SUMIFS('V3 - Downstream Transport'!$R$31:$R$60,'V3 - Downstream Transport'!$D$31:$D$60,Summary!D76)</f>
        <v>0</v>
      </c>
      <c r="L76" s="46">
        <f>SUMIFS('V3 - Business Travel'!$P$31:$P$61,'V3 - Business Travel'!$D$31:$D$61,Summary!D76)</f>
        <v>0</v>
      </c>
      <c r="M76" s="46">
        <f>SUMIFS('V3 - Employee Commuting'!$P$31:$P$60,'V3 - Employee Commuting'!$D$31:$D$60,Summary!D76)</f>
        <v>0</v>
      </c>
      <c r="N76" s="46">
        <f>SUMIFS('V3 - Waste Generated in Ops'!$P$31:$P$72,'V3 - Waste Generated in Ops'!$D$31:$D$72,Summary!D76)</f>
        <v>0</v>
      </c>
      <c r="O76" s="46">
        <f>SUMIFS('V1 - Fuels (Stationary)'!$Y$31:$Y$60,'V1 - Fuels (Stationary)'!$D$31:$D$60,Summary!D76)+SUMIFS('V1 - Fuels (Mobile)'!$Y$31:$Y$60,'V1 - Fuels (Mobile)'!$D$31:$D$60,Summary!D76)+SUMIFS('V2 - Purchased Electricity'!$Y$31:$Y$60,'V2 - Purchased Electricity'!$D$31:$D$60,Summary!D76)+SUMIFS('V3 - Upstream Transport'!$AA$31:$AA$60,'V3 - Upstream Transport'!$D$31:$D$60,Summary!D76)+SUMIFS('V3 - Downstream Transport'!$AA$31:$AA$60,'V3 - Downstream Transport'!$D$31:$D$60,Summary!D76)+SUMIFS('V3 - Business Travel'!$Y$31:$Y$61,'V3 - Business Travel'!$D$31:$D$61,Summary!D76)+SUMIFS('V3 - Employee Commuting'!$Y$31:$Y$60,'V3 - Employee Commuting'!$D$31:$D$60,Summary!D76)</f>
        <v>0</v>
      </c>
      <c r="P76" s="2"/>
      <c r="Q76" s="2"/>
      <c r="R76" s="2"/>
      <c r="S76" s="2"/>
      <c r="T76" s="2"/>
      <c r="U76" s="2"/>
      <c r="V76" s="2"/>
      <c r="W76" s="2"/>
      <c r="X76" s="2"/>
      <c r="Y76" s="2"/>
      <c r="Z76" s="2"/>
      <c r="AA76" s="38"/>
    </row>
    <row r="77" spans="2:27" ht="15">
      <c r="B77" s="4"/>
      <c r="C77" s="12"/>
      <c r="D77" s="7" t="str">
        <v xml:space="preserve"> - </v>
      </c>
      <c r="E77" s="46">
        <f>SUMIFS('V1 - Fuels (Stationary)'!$P$31:$P$60,'V1 - Fuels (Stationary)'!$D$31:$D$60,Summary!D77)</f>
        <v>0</v>
      </c>
      <c r="F77" s="46">
        <f>SUMIFS('V1 - Fuels (Mobile)'!$P$31:$P$60,'V1 - Fuels (Mobile)'!$D$31:$D$60,Summary!D77)</f>
        <v>0</v>
      </c>
      <c r="G77" s="46">
        <f>SUMIFS('V1 - Refrigerants'!$O$31:$O$60,'V1 - Refrigerants'!$D$31:$D$60,Summary!D77)</f>
        <v>0</v>
      </c>
      <c r="H77" s="46">
        <f>SUMIFS('V2 - Purchased Electricity'!$P$31:$P$60,'V2 - Purchased Electricity'!$D$31:$D$60,Summary!D77)</f>
        <v>0</v>
      </c>
      <c r="I77" s="46">
        <f>SUMIFS('V2 - District Heating'!P36:P64,'V2 - District Heating'!D36:D64,Summary!D77)</f>
        <v>0</v>
      </c>
      <c r="J77" s="46">
        <f>SUMIFS('V3 - Upstream Transport'!$R$31:$R$60,'V3 - Upstream Transport'!$D$31:$D$60,Summary!D77)</f>
        <v>0</v>
      </c>
      <c r="K77" s="46">
        <f>SUMIFS('V3 - Downstream Transport'!$R$31:$R$60,'V3 - Downstream Transport'!$D$31:$D$60,Summary!D77)</f>
        <v>0</v>
      </c>
      <c r="L77" s="46">
        <f>SUMIFS('V3 - Business Travel'!$P$31:$P$61,'V3 - Business Travel'!$D$31:$D$61,Summary!D77)</f>
        <v>0</v>
      </c>
      <c r="M77" s="46">
        <f>SUMIFS('V3 - Employee Commuting'!$P$31:$P$60,'V3 - Employee Commuting'!$D$31:$D$60,Summary!D77)</f>
        <v>0</v>
      </c>
      <c r="N77" s="46">
        <f>SUMIFS('V3 - Waste Generated in Ops'!$P$31:$P$72,'V3 - Waste Generated in Ops'!$D$31:$D$72,Summary!D77)</f>
        <v>0</v>
      </c>
      <c r="O77" s="46">
        <f>SUMIFS('V1 - Fuels (Stationary)'!$Y$31:$Y$60,'V1 - Fuels (Stationary)'!$D$31:$D$60,Summary!D77)+SUMIFS('V1 - Fuels (Mobile)'!$Y$31:$Y$60,'V1 - Fuels (Mobile)'!$D$31:$D$60,Summary!D77)+SUMIFS('V2 - Purchased Electricity'!$Y$31:$Y$60,'V2 - Purchased Electricity'!$D$31:$D$60,Summary!D77)+SUMIFS('V3 - Upstream Transport'!$AA$31:$AA$60,'V3 - Upstream Transport'!$D$31:$D$60,Summary!D77)+SUMIFS('V3 - Downstream Transport'!$AA$31:$AA$60,'V3 - Downstream Transport'!$D$31:$D$60,Summary!D77)+SUMIFS('V3 - Business Travel'!$Y$31:$Y$61,'V3 - Business Travel'!$D$31:$D$61,Summary!D77)+SUMIFS('V3 - Employee Commuting'!$Y$31:$Y$60,'V3 - Employee Commuting'!$D$31:$D$60,Summary!D77)</f>
        <v>0</v>
      </c>
      <c r="P77" s="2"/>
      <c r="Q77" s="2"/>
      <c r="R77" s="2"/>
      <c r="S77" s="2"/>
      <c r="T77" s="2"/>
      <c r="U77" s="2"/>
      <c r="V77" s="2"/>
      <c r="W77" s="2"/>
      <c r="X77" s="2"/>
      <c r="Y77" s="2"/>
      <c r="Z77" s="2"/>
      <c r="AA77" s="38"/>
    </row>
    <row r="78" spans="2:27" ht="15">
      <c r="B78" s="4"/>
      <c r="C78" s="12"/>
      <c r="D78" s="7" t="str">
        <v xml:space="preserve"> - </v>
      </c>
      <c r="E78" s="46">
        <f>SUMIFS('V1 - Fuels (Stationary)'!$P$31:$P$60,'V1 - Fuels (Stationary)'!$D$31:$D$60,Summary!D78)</f>
        <v>0</v>
      </c>
      <c r="F78" s="46">
        <f>SUMIFS('V1 - Fuels (Mobile)'!$P$31:$P$60,'V1 - Fuels (Mobile)'!$D$31:$D$60,Summary!D78)</f>
        <v>0</v>
      </c>
      <c r="G78" s="46">
        <f>SUMIFS('V1 - Refrigerants'!$O$31:$O$60,'V1 - Refrigerants'!$D$31:$D$60,Summary!D78)</f>
        <v>0</v>
      </c>
      <c r="H78" s="46">
        <f>SUMIFS('V2 - Purchased Electricity'!$P$31:$P$60,'V2 - Purchased Electricity'!$D$31:$D$60,Summary!D78)</f>
        <v>0</v>
      </c>
      <c r="I78" s="46">
        <f>SUMIFS('V2 - District Heating'!P37:P65,'V2 - District Heating'!D37:D65,Summary!D78)</f>
        <v>0</v>
      </c>
      <c r="J78" s="46">
        <f>SUMIFS('V3 - Upstream Transport'!$R$31:$R$60,'V3 - Upstream Transport'!$D$31:$D$60,Summary!D78)</f>
        <v>0</v>
      </c>
      <c r="K78" s="46">
        <f>SUMIFS('V3 - Downstream Transport'!$R$31:$R$60,'V3 - Downstream Transport'!$D$31:$D$60,Summary!D78)</f>
        <v>0</v>
      </c>
      <c r="L78" s="46">
        <f>SUMIFS('V3 - Business Travel'!$P$31:$P$61,'V3 - Business Travel'!$D$31:$D$61,Summary!D78)</f>
        <v>0</v>
      </c>
      <c r="M78" s="46">
        <f>SUMIFS('V3 - Employee Commuting'!$P$31:$P$60,'V3 - Employee Commuting'!$D$31:$D$60,Summary!D78)</f>
        <v>0</v>
      </c>
      <c r="N78" s="46">
        <f>SUMIFS('V3 - Waste Generated in Ops'!$P$31:$P$72,'V3 - Waste Generated in Ops'!$D$31:$D$72,Summary!D78)</f>
        <v>0</v>
      </c>
      <c r="O78" s="46">
        <f>SUMIFS('V1 - Fuels (Stationary)'!$Y$31:$Y$60,'V1 - Fuels (Stationary)'!$D$31:$D$60,Summary!D78)+SUMIFS('V1 - Fuels (Mobile)'!$Y$31:$Y$60,'V1 - Fuels (Mobile)'!$D$31:$D$60,Summary!D78)+SUMIFS('V2 - Purchased Electricity'!$Y$31:$Y$60,'V2 - Purchased Electricity'!$D$31:$D$60,Summary!D78)+SUMIFS('V3 - Upstream Transport'!$AA$31:$AA$60,'V3 - Upstream Transport'!$D$31:$D$60,Summary!D78)+SUMIFS('V3 - Downstream Transport'!$AA$31:$AA$60,'V3 - Downstream Transport'!$D$31:$D$60,Summary!D78)+SUMIFS('V3 - Business Travel'!$Y$31:$Y$61,'V3 - Business Travel'!$D$31:$D$61,Summary!D78)+SUMIFS('V3 - Employee Commuting'!$Y$31:$Y$60,'V3 - Employee Commuting'!$D$31:$D$60,Summary!D78)</f>
        <v>0</v>
      </c>
      <c r="P78" s="2"/>
      <c r="Q78" s="2"/>
      <c r="R78" s="2"/>
      <c r="S78" s="2"/>
      <c r="T78" s="2"/>
      <c r="U78" s="2"/>
      <c r="V78" s="2"/>
      <c r="W78" s="2"/>
      <c r="X78" s="2"/>
      <c r="Y78" s="2"/>
      <c r="Z78" s="2"/>
      <c r="AA78" s="38"/>
    </row>
    <row r="79" spans="2:27" ht="15">
      <c r="B79" s="4"/>
      <c r="C79" s="12"/>
      <c r="D79" s="7" t="str">
        <v xml:space="preserve"> - </v>
      </c>
      <c r="E79" s="46">
        <f>SUMIFS('V1 - Fuels (Stationary)'!$P$31:$P$60,'V1 - Fuels (Stationary)'!$D$31:$D$60,Summary!D79)</f>
        <v>0</v>
      </c>
      <c r="F79" s="46">
        <f>SUMIFS('V1 - Fuels (Mobile)'!$P$31:$P$60,'V1 - Fuels (Mobile)'!$D$31:$D$60,Summary!D79)</f>
        <v>0</v>
      </c>
      <c r="G79" s="46">
        <f>SUMIFS('V1 - Refrigerants'!$O$31:$O$60,'V1 - Refrigerants'!$D$31:$D$60,Summary!D79)</f>
        <v>0</v>
      </c>
      <c r="H79" s="46">
        <f>SUMIFS('V2 - Purchased Electricity'!$P$31:$P$60,'V2 - Purchased Electricity'!$D$31:$D$60,Summary!D79)</f>
        <v>0</v>
      </c>
      <c r="I79" s="46">
        <f>SUMIFS('V2 - District Heating'!P38:P66,'V2 - District Heating'!D38:D66,Summary!D79)</f>
        <v>0</v>
      </c>
      <c r="J79" s="46">
        <f>SUMIFS('V3 - Upstream Transport'!$R$31:$R$60,'V3 - Upstream Transport'!$D$31:$D$60,Summary!D79)</f>
        <v>0</v>
      </c>
      <c r="K79" s="46">
        <f>SUMIFS('V3 - Downstream Transport'!$R$31:$R$60,'V3 - Downstream Transport'!$D$31:$D$60,Summary!D79)</f>
        <v>0</v>
      </c>
      <c r="L79" s="46">
        <f>SUMIFS('V3 - Business Travel'!$P$31:$P$61,'V3 - Business Travel'!$D$31:$D$61,Summary!D79)</f>
        <v>0</v>
      </c>
      <c r="M79" s="46">
        <f>SUMIFS('V3 - Employee Commuting'!$P$31:$P$60,'V3 - Employee Commuting'!$D$31:$D$60,Summary!D79)</f>
        <v>0</v>
      </c>
      <c r="N79" s="46">
        <f>SUMIFS('V3 - Waste Generated in Ops'!$P$31:$P$72,'V3 - Waste Generated in Ops'!$D$31:$D$72,Summary!D79)</f>
        <v>0</v>
      </c>
      <c r="O79" s="46">
        <f>SUMIFS('V1 - Fuels (Stationary)'!$Y$31:$Y$60,'V1 - Fuels (Stationary)'!$D$31:$D$60,Summary!D79)+SUMIFS('V1 - Fuels (Mobile)'!$Y$31:$Y$60,'V1 - Fuels (Mobile)'!$D$31:$D$60,Summary!D79)+SUMIFS('V2 - Purchased Electricity'!$Y$31:$Y$60,'V2 - Purchased Electricity'!$D$31:$D$60,Summary!D79)+SUMIFS('V3 - Upstream Transport'!$AA$31:$AA$60,'V3 - Upstream Transport'!$D$31:$D$60,Summary!D79)+SUMIFS('V3 - Downstream Transport'!$AA$31:$AA$60,'V3 - Downstream Transport'!$D$31:$D$60,Summary!D79)+SUMIFS('V3 - Business Travel'!$Y$31:$Y$61,'V3 - Business Travel'!$D$31:$D$61,Summary!D79)+SUMIFS('V3 - Employee Commuting'!$Y$31:$Y$60,'V3 - Employee Commuting'!$D$31:$D$60,Summary!D79)</f>
        <v>0</v>
      </c>
      <c r="P79" s="2"/>
      <c r="Q79" s="2"/>
      <c r="R79" s="2"/>
      <c r="S79" s="2"/>
      <c r="T79" s="2"/>
      <c r="U79" s="2"/>
      <c r="V79" s="2"/>
      <c r="W79" s="2"/>
      <c r="X79" s="2"/>
      <c r="Y79" s="2"/>
      <c r="Z79" s="2"/>
      <c r="AA79" s="38"/>
    </row>
    <row r="80" spans="2:27" ht="15">
      <c r="B80" s="4"/>
      <c r="C80" s="12"/>
      <c r="D80" s="7" t="str">
        <v xml:space="preserve"> - </v>
      </c>
      <c r="E80" s="46">
        <f>SUMIFS('V1 - Fuels (Stationary)'!$P$31:$P$60,'V1 - Fuels (Stationary)'!$D$31:$D$60,Summary!D80)</f>
        <v>0</v>
      </c>
      <c r="F80" s="46">
        <f>SUMIFS('V1 - Fuels (Mobile)'!$P$31:$P$60,'V1 - Fuels (Mobile)'!$D$31:$D$60,Summary!D80)</f>
        <v>0</v>
      </c>
      <c r="G80" s="46">
        <f>SUMIFS('V1 - Refrigerants'!$O$31:$O$60,'V1 - Refrigerants'!$D$31:$D$60,Summary!D80)</f>
        <v>0</v>
      </c>
      <c r="H80" s="46">
        <f>SUMIFS('V2 - Purchased Electricity'!$P$31:$P$60,'V2 - Purchased Electricity'!$D$31:$D$60,Summary!D80)</f>
        <v>0</v>
      </c>
      <c r="I80" s="46">
        <f>SUMIFS('V2 - District Heating'!P39:P67,'V2 - District Heating'!D39:D67,Summary!D80)</f>
        <v>0</v>
      </c>
      <c r="J80" s="46">
        <f>SUMIFS('V3 - Upstream Transport'!$R$31:$R$60,'V3 - Upstream Transport'!$D$31:$D$60,Summary!D80)</f>
        <v>0</v>
      </c>
      <c r="K80" s="46">
        <f>SUMIFS('V3 - Downstream Transport'!$R$31:$R$60,'V3 - Downstream Transport'!$D$31:$D$60,Summary!D80)</f>
        <v>0</v>
      </c>
      <c r="L80" s="46">
        <f>SUMIFS('V3 - Business Travel'!$P$31:$P$61,'V3 - Business Travel'!$D$31:$D$61,Summary!D80)</f>
        <v>0</v>
      </c>
      <c r="M80" s="46">
        <f>SUMIFS('V3 - Employee Commuting'!$P$31:$P$60,'V3 - Employee Commuting'!$D$31:$D$60,Summary!D80)</f>
        <v>0</v>
      </c>
      <c r="N80" s="46">
        <f>SUMIFS('V3 - Waste Generated in Ops'!$P$31:$P$72,'V3 - Waste Generated in Ops'!$D$31:$D$72,Summary!D80)</f>
        <v>0</v>
      </c>
      <c r="O80" s="46">
        <f>SUMIFS('V1 - Fuels (Stationary)'!$Y$31:$Y$60,'V1 - Fuels (Stationary)'!$D$31:$D$60,Summary!D80)+SUMIFS('V1 - Fuels (Mobile)'!$Y$31:$Y$60,'V1 - Fuels (Mobile)'!$D$31:$D$60,Summary!D80)+SUMIFS('V2 - Purchased Electricity'!$Y$31:$Y$60,'V2 - Purchased Electricity'!$D$31:$D$60,Summary!D80)+SUMIFS('V3 - Upstream Transport'!$AA$31:$AA$60,'V3 - Upstream Transport'!$D$31:$D$60,Summary!D80)+SUMIFS('V3 - Downstream Transport'!$AA$31:$AA$60,'V3 - Downstream Transport'!$D$31:$D$60,Summary!D80)+SUMIFS('V3 - Business Travel'!$Y$31:$Y$61,'V3 - Business Travel'!$D$31:$D$61,Summary!D80)+SUMIFS('V3 - Employee Commuting'!$Y$31:$Y$60,'V3 - Employee Commuting'!$D$31:$D$60,Summary!D80)</f>
        <v>0</v>
      </c>
      <c r="P80" s="2"/>
      <c r="Q80" s="2"/>
      <c r="R80" s="2"/>
      <c r="S80" s="2"/>
      <c r="T80" s="2"/>
      <c r="U80" s="2"/>
      <c r="V80" s="2"/>
      <c r="W80" s="2"/>
      <c r="X80" s="2"/>
      <c r="Y80" s="2"/>
      <c r="Z80" s="2"/>
      <c r="AA80" s="38"/>
    </row>
    <row r="81" spans="2:27" ht="15">
      <c r="B81" s="4"/>
      <c r="C81" s="12"/>
      <c r="D81" s="7" t="str">
        <v xml:space="preserve"> - </v>
      </c>
      <c r="E81" s="46">
        <f>SUMIFS('V1 - Fuels (Stationary)'!$P$31:$P$60,'V1 - Fuels (Stationary)'!$D$31:$D$60,Summary!D81)</f>
        <v>0</v>
      </c>
      <c r="F81" s="46">
        <f>SUMIFS('V1 - Fuels (Mobile)'!$P$31:$P$60,'V1 - Fuels (Mobile)'!$D$31:$D$60,Summary!D81)</f>
        <v>0</v>
      </c>
      <c r="G81" s="46">
        <f>SUMIFS('V1 - Refrigerants'!$O$31:$O$60,'V1 - Refrigerants'!$D$31:$D$60,Summary!D81)</f>
        <v>0</v>
      </c>
      <c r="H81" s="46">
        <f>SUMIFS('V2 - Purchased Electricity'!$P$31:$P$60,'V2 - Purchased Electricity'!$D$31:$D$60,Summary!D81)</f>
        <v>0</v>
      </c>
      <c r="I81" s="46">
        <f>SUMIFS('V2 - District Heating'!P40:P68,'V2 - District Heating'!D40:D68,Summary!D81)</f>
        <v>0</v>
      </c>
      <c r="J81" s="46">
        <f>SUMIFS('V3 - Upstream Transport'!$R$31:$R$60,'V3 - Upstream Transport'!$D$31:$D$60,Summary!D81)</f>
        <v>0</v>
      </c>
      <c r="K81" s="46">
        <f>SUMIFS('V3 - Downstream Transport'!$R$31:$R$60,'V3 - Downstream Transport'!$D$31:$D$60,Summary!D81)</f>
        <v>0</v>
      </c>
      <c r="L81" s="46">
        <f>SUMIFS('V3 - Business Travel'!$P$31:$P$61,'V3 - Business Travel'!$D$31:$D$61,Summary!D81)</f>
        <v>0</v>
      </c>
      <c r="M81" s="46">
        <f>SUMIFS('V3 - Employee Commuting'!$P$31:$P$60,'V3 - Employee Commuting'!$D$31:$D$60,Summary!D81)</f>
        <v>0</v>
      </c>
      <c r="N81" s="46">
        <f>SUMIFS('V3 - Waste Generated in Ops'!$P$31:$P$72,'V3 - Waste Generated in Ops'!$D$31:$D$72,Summary!D81)</f>
        <v>0</v>
      </c>
      <c r="O81" s="46">
        <f>SUMIFS('V1 - Fuels (Stationary)'!$Y$31:$Y$60,'V1 - Fuels (Stationary)'!$D$31:$D$60,Summary!D81)+SUMIFS('V1 - Fuels (Mobile)'!$Y$31:$Y$60,'V1 - Fuels (Mobile)'!$D$31:$D$60,Summary!D81)+SUMIFS('V2 - Purchased Electricity'!$Y$31:$Y$60,'V2 - Purchased Electricity'!$D$31:$D$60,Summary!D81)+SUMIFS('V3 - Upstream Transport'!$AA$31:$AA$60,'V3 - Upstream Transport'!$D$31:$D$60,Summary!D81)+SUMIFS('V3 - Downstream Transport'!$AA$31:$AA$60,'V3 - Downstream Transport'!$D$31:$D$60,Summary!D81)+SUMIFS('V3 - Business Travel'!$Y$31:$Y$61,'V3 - Business Travel'!$D$31:$D$61,Summary!D81)+SUMIFS('V3 - Employee Commuting'!$Y$31:$Y$60,'V3 - Employee Commuting'!$D$31:$D$60,Summary!D81)</f>
        <v>0</v>
      </c>
      <c r="P81" s="2"/>
      <c r="Q81" s="2"/>
      <c r="R81" s="2"/>
      <c r="S81" s="2"/>
      <c r="T81" s="2"/>
      <c r="U81" s="2"/>
      <c r="V81" s="2"/>
      <c r="W81" s="2"/>
      <c r="X81" s="2"/>
      <c r="Y81" s="2"/>
      <c r="Z81" s="2"/>
      <c r="AA81" s="38"/>
    </row>
    <row r="82" spans="2:27" ht="15">
      <c r="B82" s="4"/>
      <c r="C82" s="12"/>
      <c r="D82" s="7" t="str">
        <v xml:space="preserve"> - </v>
      </c>
      <c r="E82" s="46">
        <f>SUMIFS('V1 - Fuels (Stationary)'!$P$31:$P$60,'V1 - Fuels (Stationary)'!$D$31:$D$60,Summary!D82)</f>
        <v>0</v>
      </c>
      <c r="F82" s="46">
        <f>SUMIFS('V1 - Fuels (Mobile)'!$P$31:$P$60,'V1 - Fuels (Mobile)'!$D$31:$D$60,Summary!D82)</f>
        <v>0</v>
      </c>
      <c r="G82" s="46">
        <f>SUMIFS('V1 - Refrigerants'!$O$31:$O$60,'V1 - Refrigerants'!$D$31:$D$60,Summary!D82)</f>
        <v>0</v>
      </c>
      <c r="H82" s="46">
        <f>SUMIFS('V2 - Purchased Electricity'!$P$31:$P$60,'V2 - Purchased Electricity'!$D$31:$D$60,Summary!D82)</f>
        <v>0</v>
      </c>
      <c r="I82" s="46">
        <f>SUMIFS('V2 - District Heating'!P41:P69,'V2 - District Heating'!D41:D69,Summary!D82)</f>
        <v>0</v>
      </c>
      <c r="J82" s="46">
        <f>SUMIFS('V3 - Upstream Transport'!$R$31:$R$60,'V3 - Upstream Transport'!$D$31:$D$60,Summary!D82)</f>
        <v>0</v>
      </c>
      <c r="K82" s="46">
        <f>SUMIFS('V3 - Downstream Transport'!$R$31:$R$60,'V3 - Downstream Transport'!$D$31:$D$60,Summary!D82)</f>
        <v>0</v>
      </c>
      <c r="L82" s="46">
        <f>SUMIFS('V3 - Business Travel'!$P$31:$P$61,'V3 - Business Travel'!$D$31:$D$61,Summary!D82)</f>
        <v>0</v>
      </c>
      <c r="M82" s="46">
        <f>SUMIFS('V3 - Employee Commuting'!$P$31:$P$60,'V3 - Employee Commuting'!$D$31:$D$60,Summary!D82)</f>
        <v>0</v>
      </c>
      <c r="N82" s="46">
        <f>SUMIFS('V3 - Waste Generated in Ops'!$P$31:$P$72,'V3 - Waste Generated in Ops'!$D$31:$D$72,Summary!D82)</f>
        <v>0</v>
      </c>
      <c r="O82" s="46">
        <f>SUMIFS('V1 - Fuels (Stationary)'!$Y$31:$Y$60,'V1 - Fuels (Stationary)'!$D$31:$D$60,Summary!D82)+SUMIFS('V1 - Fuels (Mobile)'!$Y$31:$Y$60,'V1 - Fuels (Mobile)'!$D$31:$D$60,Summary!D82)+SUMIFS('V2 - Purchased Electricity'!$Y$31:$Y$60,'V2 - Purchased Electricity'!$D$31:$D$60,Summary!D82)+SUMIFS('V3 - Upstream Transport'!$AA$31:$AA$60,'V3 - Upstream Transport'!$D$31:$D$60,Summary!D82)+SUMIFS('V3 - Downstream Transport'!$AA$31:$AA$60,'V3 - Downstream Transport'!$D$31:$D$60,Summary!D82)+SUMIFS('V3 - Business Travel'!$Y$31:$Y$61,'V3 - Business Travel'!$D$31:$D$61,Summary!D82)+SUMIFS('V3 - Employee Commuting'!$Y$31:$Y$60,'V3 - Employee Commuting'!$D$31:$D$60,Summary!D82)</f>
        <v>0</v>
      </c>
      <c r="P82" s="2"/>
      <c r="Q82" s="2"/>
      <c r="R82" s="2"/>
      <c r="S82" s="2"/>
      <c r="T82" s="2"/>
      <c r="U82" s="2"/>
      <c r="V82" s="2"/>
      <c r="W82" s="2"/>
      <c r="X82" s="2"/>
      <c r="Y82" s="2"/>
      <c r="Z82" s="2"/>
      <c r="AA82" s="38"/>
    </row>
    <row r="83" spans="2:27" ht="15">
      <c r="B83" s="4"/>
      <c r="C83" s="12"/>
      <c r="D83" s="7" t="str">
        <v xml:space="preserve"> - </v>
      </c>
      <c r="E83" s="46">
        <f>SUMIFS('V1 - Fuels (Stationary)'!$P$31:$P$60,'V1 - Fuels (Stationary)'!$D$31:$D$60,Summary!D83)</f>
        <v>0</v>
      </c>
      <c r="F83" s="46">
        <f>SUMIFS('V1 - Fuels (Mobile)'!$P$31:$P$60,'V1 - Fuels (Mobile)'!$D$31:$D$60,Summary!D83)</f>
        <v>0</v>
      </c>
      <c r="G83" s="46">
        <f>SUMIFS('V1 - Refrigerants'!$O$31:$O$60,'V1 - Refrigerants'!$D$31:$D$60,Summary!D83)</f>
        <v>0</v>
      </c>
      <c r="H83" s="46">
        <f>SUMIFS('V2 - Purchased Electricity'!$P$31:$P$60,'V2 - Purchased Electricity'!$D$31:$D$60,Summary!D83)</f>
        <v>0</v>
      </c>
      <c r="I83" s="46">
        <f>SUMIFS('V2 - District Heating'!P42:P70,'V2 - District Heating'!D42:D70,Summary!D83)</f>
        <v>0</v>
      </c>
      <c r="J83" s="46">
        <f>SUMIFS('V3 - Upstream Transport'!$R$31:$R$60,'V3 - Upstream Transport'!$D$31:$D$60,Summary!D83)</f>
        <v>0</v>
      </c>
      <c r="K83" s="46">
        <f>SUMIFS('V3 - Downstream Transport'!$R$31:$R$60,'V3 - Downstream Transport'!$D$31:$D$60,Summary!D83)</f>
        <v>0</v>
      </c>
      <c r="L83" s="46">
        <f>SUMIFS('V3 - Business Travel'!$P$31:$P$61,'V3 - Business Travel'!$D$31:$D$61,Summary!D83)</f>
        <v>0</v>
      </c>
      <c r="M83" s="46">
        <f>SUMIFS('V3 - Employee Commuting'!$P$31:$P$60,'V3 - Employee Commuting'!$D$31:$D$60,Summary!D83)</f>
        <v>0</v>
      </c>
      <c r="N83" s="46">
        <f>SUMIFS('V3 - Waste Generated in Ops'!$P$31:$P$72,'V3 - Waste Generated in Ops'!$D$31:$D$72,Summary!D83)</f>
        <v>0</v>
      </c>
      <c r="O83" s="46">
        <f>SUMIFS('V1 - Fuels (Stationary)'!$Y$31:$Y$60,'V1 - Fuels (Stationary)'!$D$31:$D$60,Summary!D83)+SUMIFS('V1 - Fuels (Mobile)'!$Y$31:$Y$60,'V1 - Fuels (Mobile)'!$D$31:$D$60,Summary!D83)+SUMIFS('V2 - Purchased Electricity'!$Y$31:$Y$60,'V2 - Purchased Electricity'!$D$31:$D$60,Summary!D83)+SUMIFS('V3 - Upstream Transport'!$AA$31:$AA$60,'V3 - Upstream Transport'!$D$31:$D$60,Summary!D83)+SUMIFS('V3 - Downstream Transport'!$AA$31:$AA$60,'V3 - Downstream Transport'!$D$31:$D$60,Summary!D83)+SUMIFS('V3 - Business Travel'!$Y$31:$Y$61,'V3 - Business Travel'!$D$31:$D$61,Summary!D83)+SUMIFS('V3 - Employee Commuting'!$Y$31:$Y$60,'V3 - Employee Commuting'!$D$31:$D$60,Summary!D83)</f>
        <v>0</v>
      </c>
      <c r="P83" s="2"/>
      <c r="Q83" s="2"/>
      <c r="R83" s="2"/>
      <c r="S83" s="2"/>
      <c r="T83" s="2"/>
      <c r="U83" s="2"/>
      <c r="V83" s="2"/>
      <c r="W83" s="2"/>
      <c r="X83" s="2"/>
      <c r="Y83" s="2"/>
      <c r="Z83" s="2"/>
      <c r="AA83" s="38"/>
    </row>
    <row r="84" spans="2:27" ht="15">
      <c r="B84" s="4"/>
      <c r="C84" s="12"/>
      <c r="D84" s="7" t="str">
        <v xml:space="preserve"> - </v>
      </c>
      <c r="E84" s="46">
        <f>SUMIFS('V1 - Fuels (Stationary)'!$P$31:$P$60,'V1 - Fuels (Stationary)'!$D$31:$D$60,Summary!D84)</f>
        <v>0</v>
      </c>
      <c r="F84" s="46">
        <f>SUMIFS('V1 - Fuels (Mobile)'!$P$31:$P$60,'V1 - Fuels (Mobile)'!$D$31:$D$60,Summary!D84)</f>
        <v>0</v>
      </c>
      <c r="G84" s="46">
        <f>SUMIFS('V1 - Refrigerants'!$O$31:$O$60,'V1 - Refrigerants'!$D$31:$D$60,Summary!D84)</f>
        <v>0</v>
      </c>
      <c r="H84" s="46">
        <f>SUMIFS('V2 - Purchased Electricity'!$P$31:$P$60,'V2 - Purchased Electricity'!$D$31:$D$60,Summary!D84)</f>
        <v>0</v>
      </c>
      <c r="I84" s="46">
        <f>SUMIFS('V2 - District Heating'!P43:P71,'V2 - District Heating'!D43:D71,Summary!D84)</f>
        <v>0</v>
      </c>
      <c r="J84" s="46">
        <f>SUMIFS('V3 - Upstream Transport'!$R$31:$R$60,'V3 - Upstream Transport'!$D$31:$D$60,Summary!D84)</f>
        <v>0</v>
      </c>
      <c r="K84" s="46">
        <f>SUMIFS('V3 - Downstream Transport'!$R$31:$R$60,'V3 - Downstream Transport'!$D$31:$D$60,Summary!D84)</f>
        <v>0</v>
      </c>
      <c r="L84" s="46">
        <f>SUMIFS('V3 - Business Travel'!$P$31:$P$61,'V3 - Business Travel'!$D$31:$D$61,Summary!D84)</f>
        <v>0</v>
      </c>
      <c r="M84" s="46">
        <f>SUMIFS('V3 - Employee Commuting'!$P$31:$P$60,'V3 - Employee Commuting'!$D$31:$D$60,Summary!D84)</f>
        <v>0</v>
      </c>
      <c r="N84" s="46">
        <f>SUMIFS('V3 - Waste Generated in Ops'!$P$31:$P$72,'V3 - Waste Generated in Ops'!$D$31:$D$72,Summary!D84)</f>
        <v>0</v>
      </c>
      <c r="O84" s="46">
        <f>SUMIFS('V1 - Fuels (Stationary)'!$Y$31:$Y$60,'V1 - Fuels (Stationary)'!$D$31:$D$60,Summary!D84)+SUMIFS('V1 - Fuels (Mobile)'!$Y$31:$Y$60,'V1 - Fuels (Mobile)'!$D$31:$D$60,Summary!D84)+SUMIFS('V2 - Purchased Electricity'!$Y$31:$Y$60,'V2 - Purchased Electricity'!$D$31:$D$60,Summary!D84)+SUMIFS('V3 - Upstream Transport'!$AA$31:$AA$60,'V3 - Upstream Transport'!$D$31:$D$60,Summary!D84)+SUMIFS('V3 - Downstream Transport'!$AA$31:$AA$60,'V3 - Downstream Transport'!$D$31:$D$60,Summary!D84)+SUMIFS('V3 - Business Travel'!$Y$31:$Y$61,'V3 - Business Travel'!$D$31:$D$61,Summary!D84)+SUMIFS('V3 - Employee Commuting'!$Y$31:$Y$60,'V3 - Employee Commuting'!$D$31:$D$60,Summary!D84)</f>
        <v>0</v>
      </c>
      <c r="P84" s="2"/>
      <c r="Q84" s="2"/>
      <c r="R84" s="2"/>
      <c r="S84" s="2"/>
      <c r="T84" s="2"/>
      <c r="U84" s="2"/>
      <c r="V84" s="2"/>
      <c r="W84" s="2"/>
      <c r="X84" s="2"/>
      <c r="Y84" s="2"/>
      <c r="Z84" s="2"/>
      <c r="AA84" s="38"/>
    </row>
    <row r="85" spans="2:27" ht="15">
      <c r="B85" s="4"/>
      <c r="C85" s="12"/>
      <c r="D85" s="7" t="str">
        <v xml:space="preserve"> - </v>
      </c>
      <c r="E85" s="46">
        <f>SUMIFS('V1 - Fuels (Stationary)'!$P$31:$P$60,'V1 - Fuels (Stationary)'!$D$31:$D$60,Summary!D85)</f>
        <v>0</v>
      </c>
      <c r="F85" s="46">
        <f>SUMIFS('V1 - Fuels (Mobile)'!$P$31:$P$60,'V1 - Fuels (Mobile)'!$D$31:$D$60,Summary!D85)</f>
        <v>0</v>
      </c>
      <c r="G85" s="46">
        <f>SUMIFS('V1 - Refrigerants'!$O$31:$O$60,'V1 - Refrigerants'!$D$31:$D$60,Summary!D85)</f>
        <v>0</v>
      </c>
      <c r="H85" s="46">
        <f>SUMIFS('V2 - Purchased Electricity'!$P$31:$P$60,'V2 - Purchased Electricity'!$D$31:$D$60,Summary!D85)</f>
        <v>0</v>
      </c>
      <c r="I85" s="46">
        <f>SUMIFS('V2 - District Heating'!P44:P72,'V2 - District Heating'!D44:D72,Summary!D85)</f>
        <v>0</v>
      </c>
      <c r="J85" s="46">
        <f>SUMIFS('V3 - Upstream Transport'!$R$31:$R$60,'V3 - Upstream Transport'!$D$31:$D$60,Summary!D85)</f>
        <v>0</v>
      </c>
      <c r="K85" s="46">
        <f>SUMIFS('V3 - Downstream Transport'!$R$31:$R$60,'V3 - Downstream Transport'!$D$31:$D$60,Summary!D85)</f>
        <v>0</v>
      </c>
      <c r="L85" s="46">
        <f>SUMIFS('V3 - Business Travel'!$P$31:$P$61,'V3 - Business Travel'!$D$31:$D$61,Summary!D85)</f>
        <v>0</v>
      </c>
      <c r="M85" s="46">
        <f>SUMIFS('V3 - Employee Commuting'!$P$31:$P$60,'V3 - Employee Commuting'!$D$31:$D$60,Summary!D85)</f>
        <v>0</v>
      </c>
      <c r="N85" s="46">
        <f>SUMIFS('V3 - Waste Generated in Ops'!$P$31:$P$72,'V3 - Waste Generated in Ops'!$D$31:$D$72,Summary!D85)</f>
        <v>0</v>
      </c>
      <c r="O85" s="46">
        <f>SUMIFS('V1 - Fuels (Stationary)'!$Y$31:$Y$60,'V1 - Fuels (Stationary)'!$D$31:$D$60,Summary!D85)+SUMIFS('V1 - Fuels (Mobile)'!$Y$31:$Y$60,'V1 - Fuels (Mobile)'!$D$31:$D$60,Summary!D85)+SUMIFS('V2 - Purchased Electricity'!$Y$31:$Y$60,'V2 - Purchased Electricity'!$D$31:$D$60,Summary!D85)+SUMIFS('V3 - Upstream Transport'!$AA$31:$AA$60,'V3 - Upstream Transport'!$D$31:$D$60,Summary!D85)+SUMIFS('V3 - Downstream Transport'!$AA$31:$AA$60,'V3 - Downstream Transport'!$D$31:$D$60,Summary!D85)+SUMIFS('V3 - Business Travel'!$Y$31:$Y$61,'V3 - Business Travel'!$D$31:$D$61,Summary!D85)+SUMIFS('V3 - Employee Commuting'!$Y$31:$Y$60,'V3 - Employee Commuting'!$D$31:$D$60,Summary!D85)</f>
        <v>0</v>
      </c>
      <c r="P85" s="2"/>
      <c r="Q85" s="2"/>
      <c r="R85" s="2"/>
      <c r="S85" s="2"/>
      <c r="T85" s="2"/>
      <c r="U85" s="2"/>
      <c r="V85" s="2"/>
      <c r="W85" s="2"/>
      <c r="X85" s="2"/>
      <c r="Y85" s="2"/>
      <c r="Z85" s="2"/>
      <c r="AA85" s="38"/>
    </row>
    <row r="86" spans="2:27" ht="15">
      <c r="B86" s="4"/>
      <c r="C86" s="12"/>
      <c r="D86" s="7" t="str">
        <v xml:space="preserve"> - </v>
      </c>
      <c r="E86" s="46">
        <f>SUMIFS('V1 - Fuels (Stationary)'!$P$31:$P$60,'V1 - Fuels (Stationary)'!$D$31:$D$60,Summary!D86)</f>
        <v>0</v>
      </c>
      <c r="F86" s="46">
        <f>SUMIFS('V1 - Fuels (Mobile)'!$P$31:$P$60,'V1 - Fuels (Mobile)'!$D$31:$D$60,Summary!D86)</f>
        <v>0</v>
      </c>
      <c r="G86" s="46">
        <f>SUMIFS('V1 - Refrigerants'!$O$31:$O$60,'V1 - Refrigerants'!$D$31:$D$60,Summary!D86)</f>
        <v>0</v>
      </c>
      <c r="H86" s="46">
        <f>SUMIFS('V2 - Purchased Electricity'!$P$31:$P$60,'V2 - Purchased Electricity'!$D$31:$D$60,Summary!D86)</f>
        <v>0</v>
      </c>
      <c r="I86" s="46">
        <f>SUMIFS('V2 - District Heating'!P45:P73,'V2 - District Heating'!D45:D73,Summary!D86)</f>
        <v>0</v>
      </c>
      <c r="J86" s="46">
        <f>SUMIFS('V3 - Upstream Transport'!$R$31:$R$60,'V3 - Upstream Transport'!$D$31:$D$60,Summary!D86)</f>
        <v>0</v>
      </c>
      <c r="K86" s="46">
        <f>SUMIFS('V3 - Downstream Transport'!$R$31:$R$60,'V3 - Downstream Transport'!$D$31:$D$60,Summary!D86)</f>
        <v>0</v>
      </c>
      <c r="L86" s="46">
        <f>SUMIFS('V3 - Business Travel'!$P$31:$P$61,'V3 - Business Travel'!$D$31:$D$61,Summary!D86)</f>
        <v>0</v>
      </c>
      <c r="M86" s="46">
        <f>SUMIFS('V3 - Employee Commuting'!$P$31:$P$60,'V3 - Employee Commuting'!$D$31:$D$60,Summary!D86)</f>
        <v>0</v>
      </c>
      <c r="N86" s="46">
        <f>SUMIFS('V3 - Waste Generated in Ops'!$P$31:$P$72,'V3 - Waste Generated in Ops'!$D$31:$D$72,Summary!D86)</f>
        <v>0</v>
      </c>
      <c r="O86" s="46">
        <f>SUMIFS('V1 - Fuels (Stationary)'!$Y$31:$Y$60,'V1 - Fuels (Stationary)'!$D$31:$D$60,Summary!D86)+SUMIFS('V1 - Fuels (Mobile)'!$Y$31:$Y$60,'V1 - Fuels (Mobile)'!$D$31:$D$60,Summary!D86)+SUMIFS('V2 - Purchased Electricity'!$Y$31:$Y$60,'V2 - Purchased Electricity'!$D$31:$D$60,Summary!D86)+SUMIFS('V3 - Upstream Transport'!$AA$31:$AA$60,'V3 - Upstream Transport'!$D$31:$D$60,Summary!D86)+SUMIFS('V3 - Downstream Transport'!$AA$31:$AA$60,'V3 - Downstream Transport'!$D$31:$D$60,Summary!D86)+SUMIFS('V3 - Business Travel'!$Y$31:$Y$61,'V3 - Business Travel'!$D$31:$D$61,Summary!D86)+SUMIFS('V3 - Employee Commuting'!$Y$31:$Y$60,'V3 - Employee Commuting'!$D$31:$D$60,Summary!D86)</f>
        <v>0</v>
      </c>
      <c r="P86" s="2"/>
      <c r="Q86" s="2"/>
      <c r="R86" s="2"/>
      <c r="S86" s="2"/>
      <c r="T86" s="2"/>
      <c r="U86" s="2"/>
      <c r="V86" s="2"/>
      <c r="W86" s="2"/>
      <c r="X86" s="2"/>
      <c r="Y86" s="2"/>
      <c r="Z86" s="2"/>
      <c r="AA86" s="38"/>
    </row>
    <row r="87" spans="2:27" ht="15">
      <c r="B87" s="4"/>
      <c r="C87" s="12"/>
      <c r="D87" s="7" t="str">
        <v xml:space="preserve"> - </v>
      </c>
      <c r="E87" s="46">
        <f>SUMIFS('V1 - Fuels (Stationary)'!$P$31:$P$60,'V1 - Fuels (Stationary)'!$D$31:$D$60,Summary!D87)</f>
        <v>0</v>
      </c>
      <c r="F87" s="46">
        <f>SUMIFS('V1 - Fuels (Mobile)'!$P$31:$P$60,'V1 - Fuels (Mobile)'!$D$31:$D$60,Summary!D87)</f>
        <v>0</v>
      </c>
      <c r="G87" s="46">
        <f>SUMIFS('V1 - Refrigerants'!$O$31:$O$60,'V1 - Refrigerants'!$D$31:$D$60,Summary!D87)</f>
        <v>0</v>
      </c>
      <c r="H87" s="46">
        <f>SUMIFS('V2 - Purchased Electricity'!$P$31:$P$60,'V2 - Purchased Electricity'!$D$31:$D$60,Summary!D87)</f>
        <v>0</v>
      </c>
      <c r="I87" s="46">
        <f>SUMIFS('V2 - District Heating'!P46:P74,'V2 - District Heating'!D46:D74,Summary!D87)</f>
        <v>0</v>
      </c>
      <c r="J87" s="46">
        <f>SUMIFS('V3 - Upstream Transport'!$R$31:$R$60,'V3 - Upstream Transport'!$D$31:$D$60,Summary!D87)</f>
        <v>0</v>
      </c>
      <c r="K87" s="46">
        <f>SUMIFS('V3 - Downstream Transport'!$R$31:$R$60,'V3 - Downstream Transport'!$D$31:$D$60,Summary!D87)</f>
        <v>0</v>
      </c>
      <c r="L87" s="46">
        <f>SUMIFS('V3 - Business Travel'!$P$31:$P$61,'V3 - Business Travel'!$D$31:$D$61,Summary!D87)</f>
        <v>0</v>
      </c>
      <c r="M87" s="46">
        <f>SUMIFS('V3 - Employee Commuting'!$P$31:$P$60,'V3 - Employee Commuting'!$D$31:$D$60,Summary!D87)</f>
        <v>0</v>
      </c>
      <c r="N87" s="46">
        <f>SUMIFS('V3 - Waste Generated in Ops'!$P$31:$P$72,'V3 - Waste Generated in Ops'!$D$31:$D$72,Summary!D87)</f>
        <v>0</v>
      </c>
      <c r="O87" s="46">
        <f>SUMIFS('V1 - Fuels (Stationary)'!$Y$31:$Y$60,'V1 - Fuels (Stationary)'!$D$31:$D$60,Summary!D87)+SUMIFS('V1 - Fuels (Mobile)'!$Y$31:$Y$60,'V1 - Fuels (Mobile)'!$D$31:$D$60,Summary!D87)+SUMIFS('V2 - Purchased Electricity'!$Y$31:$Y$60,'V2 - Purchased Electricity'!$D$31:$D$60,Summary!D87)+SUMIFS('V3 - Upstream Transport'!$AA$31:$AA$60,'V3 - Upstream Transport'!$D$31:$D$60,Summary!D87)+SUMIFS('V3 - Downstream Transport'!$AA$31:$AA$60,'V3 - Downstream Transport'!$D$31:$D$60,Summary!D87)+SUMIFS('V3 - Business Travel'!$Y$31:$Y$61,'V3 - Business Travel'!$D$31:$D$61,Summary!D87)+SUMIFS('V3 - Employee Commuting'!$Y$31:$Y$60,'V3 - Employee Commuting'!$D$31:$D$60,Summary!D87)</f>
        <v>0</v>
      </c>
      <c r="P87" s="2"/>
      <c r="Q87" s="2"/>
      <c r="R87" s="2"/>
      <c r="S87" s="2"/>
      <c r="T87" s="2"/>
      <c r="U87" s="2"/>
      <c r="V87" s="2"/>
      <c r="W87" s="2"/>
      <c r="X87" s="2"/>
      <c r="Y87" s="2"/>
      <c r="Z87" s="2"/>
      <c r="AA87" s="38"/>
    </row>
    <row r="88" spans="2:27" ht="15">
      <c r="B88" s="4"/>
      <c r="C88" s="12"/>
      <c r="D88" s="7" t="str">
        <v xml:space="preserve"> - </v>
      </c>
      <c r="E88" s="46">
        <f>SUMIFS('V1 - Fuels (Stationary)'!$P$31:$P$60,'V1 - Fuels (Stationary)'!$D$31:$D$60,Summary!D88)</f>
        <v>0</v>
      </c>
      <c r="F88" s="46">
        <f>SUMIFS('V1 - Fuels (Mobile)'!$P$31:$P$60,'V1 - Fuels (Mobile)'!$D$31:$D$60,Summary!D88)</f>
        <v>0</v>
      </c>
      <c r="G88" s="46">
        <f>SUMIFS('V1 - Refrigerants'!$O$31:$O$60,'V1 - Refrigerants'!$D$31:$D$60,Summary!D88)</f>
        <v>0</v>
      </c>
      <c r="H88" s="46">
        <f>SUMIFS('V2 - Purchased Electricity'!$P$31:$P$60,'V2 - Purchased Electricity'!$D$31:$D$60,Summary!D88)</f>
        <v>0</v>
      </c>
      <c r="I88" s="46">
        <f>SUMIFS('V2 - District Heating'!P47:P75,'V2 - District Heating'!D47:D75,Summary!D88)</f>
        <v>0</v>
      </c>
      <c r="J88" s="46">
        <f>SUMIFS('V3 - Upstream Transport'!$R$31:$R$60,'V3 - Upstream Transport'!$D$31:$D$60,Summary!D88)</f>
        <v>0</v>
      </c>
      <c r="K88" s="46">
        <f>SUMIFS('V3 - Downstream Transport'!$R$31:$R$60,'V3 - Downstream Transport'!$D$31:$D$60,Summary!D88)</f>
        <v>0</v>
      </c>
      <c r="L88" s="46">
        <f>SUMIFS('V3 - Business Travel'!$P$31:$P$61,'V3 - Business Travel'!$D$31:$D$61,Summary!D88)</f>
        <v>0</v>
      </c>
      <c r="M88" s="46">
        <f>SUMIFS('V3 - Employee Commuting'!$P$31:$P$60,'V3 - Employee Commuting'!$D$31:$D$60,Summary!D88)</f>
        <v>0</v>
      </c>
      <c r="N88" s="46">
        <f>SUMIFS('V3 - Waste Generated in Ops'!$P$31:$P$72,'V3 - Waste Generated in Ops'!$D$31:$D$72,Summary!D88)</f>
        <v>0</v>
      </c>
      <c r="O88" s="46">
        <f>SUMIFS('V1 - Fuels (Stationary)'!$Y$31:$Y$60,'V1 - Fuels (Stationary)'!$D$31:$D$60,Summary!D88)+SUMIFS('V1 - Fuels (Mobile)'!$Y$31:$Y$60,'V1 - Fuels (Mobile)'!$D$31:$D$60,Summary!D88)+SUMIFS('V2 - Purchased Electricity'!$Y$31:$Y$60,'V2 - Purchased Electricity'!$D$31:$D$60,Summary!D88)+SUMIFS('V3 - Upstream Transport'!$AA$31:$AA$60,'V3 - Upstream Transport'!$D$31:$D$60,Summary!D88)+SUMIFS('V3 - Downstream Transport'!$AA$31:$AA$60,'V3 - Downstream Transport'!$D$31:$D$60,Summary!D88)+SUMIFS('V3 - Business Travel'!$Y$31:$Y$61,'V3 - Business Travel'!$D$31:$D$61,Summary!D88)+SUMIFS('V3 - Employee Commuting'!$Y$31:$Y$60,'V3 - Employee Commuting'!$D$31:$D$60,Summary!D88)</f>
        <v>0</v>
      </c>
      <c r="P88" s="2"/>
      <c r="Q88" s="2"/>
      <c r="R88" s="2"/>
      <c r="S88" s="2"/>
      <c r="T88" s="2"/>
      <c r="U88" s="2"/>
      <c r="V88" s="2"/>
      <c r="W88" s="2"/>
      <c r="X88" s="2"/>
      <c r="Y88" s="2"/>
      <c r="Z88" s="2"/>
      <c r="AA88" s="38"/>
    </row>
    <row r="89" spans="2:27" ht="15">
      <c r="B89" s="4"/>
      <c r="C89" s="12"/>
      <c r="D89" s="7" t="str">
        <v xml:space="preserve"> - </v>
      </c>
      <c r="E89" s="46">
        <f>SUMIFS('V1 - Fuels (Stationary)'!$P$31:$P$60,'V1 - Fuels (Stationary)'!$D$31:$D$60,Summary!D89)</f>
        <v>0</v>
      </c>
      <c r="F89" s="46">
        <f>SUMIFS('V1 - Fuels (Mobile)'!$P$31:$P$60,'V1 - Fuels (Mobile)'!$D$31:$D$60,Summary!D89)</f>
        <v>0</v>
      </c>
      <c r="G89" s="46">
        <f>SUMIFS('V1 - Refrigerants'!$O$31:$O$60,'V1 - Refrigerants'!$D$31:$D$60,Summary!D89)</f>
        <v>0</v>
      </c>
      <c r="H89" s="46">
        <f>SUMIFS('V2 - Purchased Electricity'!$P$31:$P$60,'V2 - Purchased Electricity'!$D$31:$D$60,Summary!D89)</f>
        <v>0</v>
      </c>
      <c r="I89" s="46">
        <f>SUMIFS('V2 - District Heating'!P48:P76,'V2 - District Heating'!D48:D76,Summary!D89)</f>
        <v>0</v>
      </c>
      <c r="J89" s="46">
        <f>SUMIFS('V3 - Upstream Transport'!$R$31:$R$60,'V3 - Upstream Transport'!$D$31:$D$60,Summary!D89)</f>
        <v>0</v>
      </c>
      <c r="K89" s="46">
        <f>SUMIFS('V3 - Downstream Transport'!$R$31:$R$60,'V3 - Downstream Transport'!$D$31:$D$60,Summary!D89)</f>
        <v>0</v>
      </c>
      <c r="L89" s="46">
        <f>SUMIFS('V3 - Business Travel'!$P$31:$P$61,'V3 - Business Travel'!$D$31:$D$61,Summary!D89)</f>
        <v>0</v>
      </c>
      <c r="M89" s="46">
        <f>SUMIFS('V3 - Employee Commuting'!$P$31:$P$60,'V3 - Employee Commuting'!$D$31:$D$60,Summary!D89)</f>
        <v>0</v>
      </c>
      <c r="N89" s="46">
        <f>SUMIFS('V3 - Waste Generated in Ops'!$P$31:$P$72,'V3 - Waste Generated in Ops'!$D$31:$D$72,Summary!D89)</f>
        <v>0</v>
      </c>
      <c r="O89" s="46">
        <f>SUMIFS('V1 - Fuels (Stationary)'!$Y$31:$Y$60,'V1 - Fuels (Stationary)'!$D$31:$D$60,Summary!D89)+SUMIFS('V1 - Fuels (Mobile)'!$Y$31:$Y$60,'V1 - Fuels (Mobile)'!$D$31:$D$60,Summary!D89)+SUMIFS('V2 - Purchased Electricity'!$Y$31:$Y$60,'V2 - Purchased Electricity'!$D$31:$D$60,Summary!D89)+SUMIFS('V3 - Upstream Transport'!$AA$31:$AA$60,'V3 - Upstream Transport'!$D$31:$D$60,Summary!D89)+SUMIFS('V3 - Downstream Transport'!$AA$31:$AA$60,'V3 - Downstream Transport'!$D$31:$D$60,Summary!D89)+SUMIFS('V3 - Business Travel'!$Y$31:$Y$61,'V3 - Business Travel'!$D$31:$D$61,Summary!D89)+SUMIFS('V3 - Employee Commuting'!$Y$31:$Y$60,'V3 - Employee Commuting'!$D$31:$D$60,Summary!D89)</f>
        <v>0</v>
      </c>
      <c r="P89" s="2"/>
      <c r="Q89" s="2"/>
      <c r="R89" s="2"/>
      <c r="S89" s="2"/>
      <c r="T89" s="2"/>
      <c r="U89" s="2"/>
      <c r="V89" s="2"/>
      <c r="W89" s="2"/>
      <c r="X89" s="2"/>
      <c r="Y89" s="2"/>
      <c r="Z89" s="2"/>
      <c r="AA89" s="38"/>
    </row>
    <row r="90" spans="2:27" ht="15">
      <c r="B90" s="4"/>
      <c r="C90" s="12"/>
      <c r="D90" s="7" t="str">
        <v xml:space="preserve"> - </v>
      </c>
      <c r="E90" s="46">
        <f>SUMIFS('V1 - Fuels (Stationary)'!$P$31:$P$60,'V1 - Fuels (Stationary)'!$D$31:$D$60,Summary!D90)</f>
        <v>0</v>
      </c>
      <c r="F90" s="46">
        <f>SUMIFS('V1 - Fuels (Mobile)'!$P$31:$P$60,'V1 - Fuels (Mobile)'!$D$31:$D$60,Summary!D90)</f>
        <v>0</v>
      </c>
      <c r="G90" s="46">
        <f>SUMIFS('V1 - Refrigerants'!$O$31:$O$60,'V1 - Refrigerants'!$D$31:$D$60,Summary!D90)</f>
        <v>0</v>
      </c>
      <c r="H90" s="46">
        <f>SUMIFS('V2 - Purchased Electricity'!$P$31:$P$60,'V2 - Purchased Electricity'!$D$31:$D$60,Summary!D90)</f>
        <v>0</v>
      </c>
      <c r="I90" s="46">
        <f>SUMIFS('V2 - District Heating'!P49:P77,'V2 - District Heating'!D49:D77,Summary!D90)</f>
        <v>0</v>
      </c>
      <c r="J90" s="46">
        <f>SUMIFS('V3 - Upstream Transport'!$R$31:$R$60,'V3 - Upstream Transport'!$D$31:$D$60,Summary!D90)</f>
        <v>0</v>
      </c>
      <c r="K90" s="46">
        <f>SUMIFS('V3 - Downstream Transport'!$R$31:$R$60,'V3 - Downstream Transport'!$D$31:$D$60,Summary!D90)</f>
        <v>0</v>
      </c>
      <c r="L90" s="46">
        <f>SUMIFS('V3 - Business Travel'!$P$31:$P$61,'V3 - Business Travel'!$D$31:$D$61,Summary!D90)</f>
        <v>0</v>
      </c>
      <c r="M90" s="46">
        <f>SUMIFS('V3 - Employee Commuting'!$P$31:$P$60,'V3 - Employee Commuting'!$D$31:$D$60,Summary!D90)</f>
        <v>0</v>
      </c>
      <c r="N90" s="46">
        <f>SUMIFS('V3 - Waste Generated in Ops'!$P$31:$P$72,'V3 - Waste Generated in Ops'!$D$31:$D$72,Summary!D90)</f>
        <v>0</v>
      </c>
      <c r="O90" s="46">
        <f>SUMIFS('V1 - Fuels (Stationary)'!$Y$31:$Y$60,'V1 - Fuels (Stationary)'!$D$31:$D$60,Summary!D90)+SUMIFS('V1 - Fuels (Mobile)'!$Y$31:$Y$60,'V1 - Fuels (Mobile)'!$D$31:$D$60,Summary!D90)+SUMIFS('V2 - Purchased Electricity'!$Y$31:$Y$60,'V2 - Purchased Electricity'!$D$31:$D$60,Summary!D90)+SUMIFS('V3 - Upstream Transport'!$AA$31:$AA$60,'V3 - Upstream Transport'!$D$31:$D$60,Summary!D90)+SUMIFS('V3 - Downstream Transport'!$AA$31:$AA$60,'V3 - Downstream Transport'!$D$31:$D$60,Summary!D90)+SUMIFS('V3 - Business Travel'!$Y$31:$Y$61,'V3 - Business Travel'!$D$31:$D$61,Summary!D90)+SUMIFS('V3 - Employee Commuting'!$Y$31:$Y$60,'V3 - Employee Commuting'!$D$31:$D$60,Summary!D90)</f>
        <v>0</v>
      </c>
      <c r="P90" s="2"/>
      <c r="Q90" s="2"/>
      <c r="R90" s="2"/>
      <c r="S90" s="2"/>
      <c r="T90" s="2"/>
      <c r="U90" s="2"/>
      <c r="V90" s="2"/>
      <c r="W90" s="2"/>
      <c r="X90" s="2"/>
      <c r="Y90" s="2"/>
      <c r="Z90" s="2"/>
      <c r="AA90" s="38"/>
    </row>
    <row r="91" spans="2:27" ht="15">
      <c r="B91" s="4"/>
      <c r="C91" s="12"/>
      <c r="D91" s="7" t="str">
        <v xml:space="preserve"> - </v>
      </c>
      <c r="E91" s="46">
        <f>SUMIFS('V1 - Fuels (Stationary)'!$P$31:$P$60,'V1 - Fuels (Stationary)'!$D$31:$D$60,Summary!D91)</f>
        <v>0</v>
      </c>
      <c r="F91" s="46">
        <f>SUMIFS('V1 - Fuels (Mobile)'!$P$31:$P$60,'V1 - Fuels (Mobile)'!$D$31:$D$60,Summary!D91)</f>
        <v>0</v>
      </c>
      <c r="G91" s="46">
        <f>SUMIFS('V1 - Refrigerants'!$O$31:$O$60,'V1 - Refrigerants'!$D$31:$D$60,Summary!D91)</f>
        <v>0</v>
      </c>
      <c r="H91" s="46">
        <f>SUMIFS('V2 - Purchased Electricity'!$P$31:$P$60,'V2 - Purchased Electricity'!$D$31:$D$60,Summary!D91)</f>
        <v>0</v>
      </c>
      <c r="I91" s="46">
        <f>SUMIFS('V2 - District Heating'!P50:P78,'V2 - District Heating'!D50:D78,Summary!D91)</f>
        <v>0</v>
      </c>
      <c r="J91" s="46">
        <f>SUMIFS('V3 - Upstream Transport'!$R$31:$R$60,'V3 - Upstream Transport'!$D$31:$D$60,Summary!D91)</f>
        <v>0</v>
      </c>
      <c r="K91" s="46">
        <f>SUMIFS('V3 - Downstream Transport'!$R$31:$R$60,'V3 - Downstream Transport'!$D$31:$D$60,Summary!D91)</f>
        <v>0</v>
      </c>
      <c r="L91" s="46">
        <f>SUMIFS('V3 - Business Travel'!$P$31:$P$61,'V3 - Business Travel'!$D$31:$D$61,Summary!D91)</f>
        <v>0</v>
      </c>
      <c r="M91" s="46">
        <f>SUMIFS('V3 - Employee Commuting'!$P$31:$P$60,'V3 - Employee Commuting'!$D$31:$D$60,Summary!D91)</f>
        <v>0</v>
      </c>
      <c r="N91" s="46">
        <f>SUMIFS('V3 - Waste Generated in Ops'!$P$31:$P$72,'V3 - Waste Generated in Ops'!$D$31:$D$72,Summary!D91)</f>
        <v>0</v>
      </c>
      <c r="O91" s="46">
        <f>SUMIFS('V1 - Fuels (Stationary)'!$Y$31:$Y$60,'V1 - Fuels (Stationary)'!$D$31:$D$60,Summary!D91)+SUMIFS('V1 - Fuels (Mobile)'!$Y$31:$Y$60,'V1 - Fuels (Mobile)'!$D$31:$D$60,Summary!D91)+SUMIFS('V2 - Purchased Electricity'!$Y$31:$Y$60,'V2 - Purchased Electricity'!$D$31:$D$60,Summary!D91)+SUMIFS('V3 - Upstream Transport'!$AA$31:$AA$60,'V3 - Upstream Transport'!$D$31:$D$60,Summary!D91)+SUMIFS('V3 - Downstream Transport'!$AA$31:$AA$60,'V3 - Downstream Transport'!$D$31:$D$60,Summary!D91)+SUMIFS('V3 - Business Travel'!$Y$31:$Y$61,'V3 - Business Travel'!$D$31:$D$61,Summary!D91)+SUMIFS('V3 - Employee Commuting'!$Y$31:$Y$60,'V3 - Employee Commuting'!$D$31:$D$60,Summary!D91)</f>
        <v>0</v>
      </c>
      <c r="P91" s="2"/>
      <c r="Q91" s="2"/>
      <c r="R91" s="2"/>
      <c r="S91" s="2"/>
      <c r="T91" s="2"/>
      <c r="U91" s="2"/>
      <c r="V91" s="2"/>
      <c r="W91" s="2"/>
      <c r="X91" s="2"/>
      <c r="Y91" s="2"/>
      <c r="Z91" s="2"/>
      <c r="AA91" s="38"/>
    </row>
    <row r="92" spans="2:27" ht="15">
      <c r="B92" s="4"/>
      <c r="C92" s="12"/>
      <c r="D92" s="7" t="str">
        <v xml:space="preserve"> - </v>
      </c>
      <c r="E92" s="46">
        <f>SUMIFS('V1 - Fuels (Stationary)'!$P$31:$P$60,'V1 - Fuels (Stationary)'!$D$31:$D$60,Summary!D92)</f>
        <v>0</v>
      </c>
      <c r="F92" s="46">
        <f>SUMIFS('V1 - Fuels (Mobile)'!$P$31:$P$60,'V1 - Fuels (Mobile)'!$D$31:$D$60,Summary!D92)</f>
        <v>0</v>
      </c>
      <c r="G92" s="46">
        <f>SUMIFS('V1 - Refrigerants'!$O$31:$O$60,'V1 - Refrigerants'!$D$31:$D$60,Summary!D92)</f>
        <v>0</v>
      </c>
      <c r="H92" s="46">
        <f>SUMIFS('V2 - Purchased Electricity'!$P$31:$P$60,'V2 - Purchased Electricity'!$D$31:$D$60,Summary!D92)</f>
        <v>0</v>
      </c>
      <c r="I92" s="46">
        <f>SUMIFS('V2 - District Heating'!P41:P69,'V2 - District Heating'!D41:D69,Summary!D92)</f>
        <v>0</v>
      </c>
      <c r="J92" s="46">
        <f>SUMIFS('V3 - Upstream Transport'!$R$31:$R$60,'V3 - Upstream Transport'!$D$31:$D$60,Summary!D92)</f>
        <v>0</v>
      </c>
      <c r="K92" s="46">
        <f>SUMIFS('V3 - Downstream Transport'!$R$31:$R$60,'V3 - Downstream Transport'!$D$31:$D$60,Summary!D92)</f>
        <v>0</v>
      </c>
      <c r="L92" s="46">
        <f>SUMIFS('V3 - Business Travel'!$P$31:$P$61,'V3 - Business Travel'!$D$31:$D$61,Summary!D92)</f>
        <v>0</v>
      </c>
      <c r="M92" s="46">
        <f>SUMIFS('V3 - Employee Commuting'!$P$31:$P$60,'V3 - Employee Commuting'!$D$31:$D$60,Summary!D92)</f>
        <v>0</v>
      </c>
      <c r="N92" s="46">
        <f>SUMIFS('V3 - Waste Generated in Ops'!$P$31:$P$72,'V3 - Waste Generated in Ops'!$D$31:$D$72,Summary!D92)</f>
        <v>0</v>
      </c>
      <c r="O92" s="46">
        <f>SUMIFS('V1 - Fuels (Stationary)'!$Y$31:$Y$60,'V1 - Fuels (Stationary)'!$D$31:$D$60,Summary!D92)+SUMIFS('V1 - Fuels (Mobile)'!$Y$31:$Y$60,'V1 - Fuels (Mobile)'!$D$31:$D$60,Summary!D92)+SUMIFS('V2 - Purchased Electricity'!$Y$31:$Y$60,'V2 - Purchased Electricity'!$D$31:$D$60,Summary!D92)+SUMIFS('V3 - Upstream Transport'!$AA$31:$AA$60,'V3 - Upstream Transport'!$D$31:$D$60,Summary!D92)+SUMIFS('V3 - Downstream Transport'!$AA$31:$AA$60,'V3 - Downstream Transport'!$D$31:$D$60,Summary!D92)+SUMIFS('V3 - Business Travel'!$Y$31:$Y$61,'V3 - Business Travel'!$D$31:$D$61,Summary!D92)+SUMIFS('V3 - Employee Commuting'!$Y$31:$Y$60,'V3 - Employee Commuting'!$D$31:$D$60,Summary!D92)</f>
        <v>0</v>
      </c>
      <c r="P92" s="2"/>
      <c r="Q92" s="2"/>
      <c r="R92" s="2"/>
      <c r="S92" s="2"/>
      <c r="T92" s="2"/>
      <c r="U92" s="2"/>
      <c r="V92" s="2"/>
      <c r="W92" s="2"/>
      <c r="X92" s="2"/>
      <c r="Y92" s="2"/>
      <c r="Z92" s="2"/>
      <c r="AA92" s="38"/>
    </row>
    <row r="93" spans="2:27" ht="15">
      <c r="B93" s="4"/>
      <c r="C93" s="12"/>
      <c r="D93" s="7" t="str">
        <v xml:space="preserve"> - </v>
      </c>
      <c r="E93" s="46">
        <f>SUMIFS('V1 - Fuels (Stationary)'!$P$31:$P$60,'V1 - Fuels (Stationary)'!$D$31:$D$60,Summary!D93)</f>
        <v>0</v>
      </c>
      <c r="F93" s="46">
        <f>SUMIFS('V1 - Fuels (Mobile)'!$P$31:$P$60,'V1 - Fuels (Mobile)'!$D$31:$D$60,Summary!D93)</f>
        <v>0</v>
      </c>
      <c r="G93" s="46">
        <f>SUMIFS('V1 - Refrigerants'!$O$31:$O$60,'V1 - Refrigerants'!$D$31:$D$60,Summary!D93)</f>
        <v>0</v>
      </c>
      <c r="H93" s="46">
        <f>SUMIFS('V2 - Purchased Electricity'!$P$31:$P$60,'V2 - Purchased Electricity'!$D$31:$D$60,Summary!D93)</f>
        <v>0</v>
      </c>
      <c r="I93" s="46">
        <f>SUMIFS('V2 - District Heating'!P42:P70,'V2 - District Heating'!D42:D70,Summary!D93)</f>
        <v>0</v>
      </c>
      <c r="J93" s="46">
        <f>SUMIFS('V3 - Upstream Transport'!$R$31:$R$60,'V3 - Upstream Transport'!$D$31:$D$60,Summary!D93)</f>
        <v>0</v>
      </c>
      <c r="K93" s="46">
        <f>SUMIFS('V3 - Downstream Transport'!$R$31:$R$60,'V3 - Downstream Transport'!$D$31:$D$60,Summary!D93)</f>
        <v>0</v>
      </c>
      <c r="L93" s="46">
        <f>SUMIFS('V3 - Business Travel'!$P$31:$P$61,'V3 - Business Travel'!$D$31:$D$61,Summary!D93)</f>
        <v>0</v>
      </c>
      <c r="M93" s="46">
        <f>SUMIFS('V3 - Employee Commuting'!$P$31:$P$60,'V3 - Employee Commuting'!$D$31:$D$60,Summary!D93)</f>
        <v>0</v>
      </c>
      <c r="N93" s="46">
        <f>SUMIFS('V3 - Waste Generated in Ops'!$P$31:$P$72,'V3 - Waste Generated in Ops'!$D$31:$D$72,Summary!D93)</f>
        <v>0</v>
      </c>
      <c r="O93" s="46">
        <f>SUMIFS('V1 - Fuels (Stationary)'!$Y$31:$Y$60,'V1 - Fuels (Stationary)'!$D$31:$D$60,Summary!D93)+SUMIFS('V1 - Fuels (Mobile)'!$Y$31:$Y$60,'V1 - Fuels (Mobile)'!$D$31:$D$60,Summary!D93)+SUMIFS('V2 - Purchased Electricity'!$Y$31:$Y$60,'V2 - Purchased Electricity'!$D$31:$D$60,Summary!D93)+SUMIFS('V3 - Upstream Transport'!$AA$31:$AA$60,'V3 - Upstream Transport'!$D$31:$D$60,Summary!D93)+SUMIFS('V3 - Downstream Transport'!$AA$31:$AA$60,'V3 - Downstream Transport'!$D$31:$D$60,Summary!D93)+SUMIFS('V3 - Business Travel'!$Y$31:$Y$61,'V3 - Business Travel'!$D$31:$D$61,Summary!D93)+SUMIFS('V3 - Employee Commuting'!$Y$31:$Y$60,'V3 - Employee Commuting'!$D$31:$D$60,Summary!D93)</f>
        <v>0</v>
      </c>
      <c r="P93" s="2"/>
      <c r="Q93" s="2"/>
      <c r="R93" s="2"/>
      <c r="S93" s="2"/>
      <c r="T93" s="2"/>
      <c r="U93" s="2"/>
      <c r="V93" s="2"/>
      <c r="W93" s="2"/>
      <c r="X93" s="2"/>
      <c r="Y93" s="2"/>
      <c r="Z93" s="2"/>
      <c r="AA93" s="38"/>
    </row>
    <row r="94" spans="2:27" ht="15">
      <c r="B94" s="4"/>
      <c r="C94" s="12"/>
      <c r="D94" s="7" t="str">
        <v xml:space="preserve"> - </v>
      </c>
      <c r="E94" s="46">
        <f>SUMIFS('V1 - Fuels (Stationary)'!$P$31:$P$60,'V1 - Fuels (Stationary)'!$D$31:$D$60,Summary!D94)</f>
        <v>0</v>
      </c>
      <c r="F94" s="46">
        <f>SUMIFS('V1 - Fuels (Mobile)'!$P$31:$P$60,'V1 - Fuels (Mobile)'!$D$31:$D$60,Summary!D94)</f>
        <v>0</v>
      </c>
      <c r="G94" s="46">
        <f>SUMIFS('V1 - Refrigerants'!$O$31:$O$60,'V1 - Refrigerants'!$D$31:$D$60,Summary!D94)</f>
        <v>0</v>
      </c>
      <c r="H94" s="46">
        <f>SUMIFS('V2 - Purchased Electricity'!$P$31:$P$60,'V2 - Purchased Electricity'!$D$31:$D$60,Summary!D94)</f>
        <v>0</v>
      </c>
      <c r="I94" s="46">
        <f>SUMIFS('V2 - District Heating'!P43:P71,'V2 - District Heating'!D43:D71,Summary!D94)</f>
        <v>0</v>
      </c>
      <c r="J94" s="46">
        <f>SUMIFS('V3 - Upstream Transport'!$R$31:$R$60,'V3 - Upstream Transport'!$D$31:$D$60,Summary!D94)</f>
        <v>0</v>
      </c>
      <c r="K94" s="46">
        <f>SUMIFS('V3 - Downstream Transport'!$R$31:$R$60,'V3 - Downstream Transport'!$D$31:$D$60,Summary!D94)</f>
        <v>0</v>
      </c>
      <c r="L94" s="46">
        <f>SUMIFS('V3 - Business Travel'!$P$31:$P$61,'V3 - Business Travel'!$D$31:$D$61,Summary!D94)</f>
        <v>0</v>
      </c>
      <c r="M94" s="46">
        <f>SUMIFS('V3 - Employee Commuting'!$P$31:$P$60,'V3 - Employee Commuting'!$D$31:$D$60,Summary!D94)</f>
        <v>0</v>
      </c>
      <c r="N94" s="46">
        <f>SUMIFS('V3 - Waste Generated in Ops'!$P$31:$P$72,'V3 - Waste Generated in Ops'!$D$31:$D$72,Summary!D94)</f>
        <v>0</v>
      </c>
      <c r="O94" s="46">
        <f>SUMIFS('V1 - Fuels (Stationary)'!$Y$31:$Y$60,'V1 - Fuels (Stationary)'!$D$31:$D$60,Summary!D94)+SUMIFS('V1 - Fuels (Mobile)'!$Y$31:$Y$60,'V1 - Fuels (Mobile)'!$D$31:$D$60,Summary!D94)+SUMIFS('V2 - Purchased Electricity'!$Y$31:$Y$60,'V2 - Purchased Electricity'!$D$31:$D$60,Summary!D94)+SUMIFS('V3 - Upstream Transport'!$AA$31:$AA$60,'V3 - Upstream Transport'!$D$31:$D$60,Summary!D94)+SUMIFS('V3 - Downstream Transport'!$AA$31:$AA$60,'V3 - Downstream Transport'!$D$31:$D$60,Summary!D94)+SUMIFS('V3 - Business Travel'!$Y$31:$Y$61,'V3 - Business Travel'!$D$31:$D$61,Summary!D94)+SUMIFS('V3 - Employee Commuting'!$Y$31:$Y$60,'V3 - Employee Commuting'!$D$31:$D$60,Summary!D94)</f>
        <v>0</v>
      </c>
      <c r="P94" s="2"/>
      <c r="Q94" s="2"/>
      <c r="R94" s="2"/>
      <c r="S94" s="2"/>
      <c r="T94" s="2"/>
      <c r="U94" s="2"/>
      <c r="V94" s="2"/>
      <c r="W94" s="2"/>
      <c r="X94" s="2"/>
      <c r="Y94" s="2"/>
      <c r="Z94" s="2"/>
      <c r="AA94" s="38"/>
    </row>
    <row r="95" spans="2:27" ht="15">
      <c r="B95" s="4"/>
      <c r="C95" s="12"/>
      <c r="D95" s="7" t="str">
        <v xml:space="preserve"> - </v>
      </c>
      <c r="E95" s="46">
        <f>SUMIFS('V1 - Fuels (Stationary)'!$P$31:$P$60,'V1 - Fuels (Stationary)'!$D$31:$D$60,Summary!D95)</f>
        <v>0</v>
      </c>
      <c r="F95" s="46">
        <f>SUMIFS('V1 - Fuels (Mobile)'!$P$31:$P$60,'V1 - Fuels (Mobile)'!$D$31:$D$60,Summary!D95)</f>
        <v>0</v>
      </c>
      <c r="G95" s="46">
        <f>SUMIFS('V1 - Refrigerants'!$O$31:$O$60,'V1 - Refrigerants'!$D$31:$D$60,Summary!D95)</f>
        <v>0</v>
      </c>
      <c r="H95" s="46">
        <f>SUMIFS('V2 - Purchased Electricity'!$P$31:$P$60,'V2 - Purchased Electricity'!$D$31:$D$60,Summary!D95)</f>
        <v>0</v>
      </c>
      <c r="I95" s="46">
        <f>SUMIFS('V2 - District Heating'!P44:P72,'V2 - District Heating'!D44:D72,Summary!D95)</f>
        <v>0</v>
      </c>
      <c r="J95" s="46">
        <f>SUMIFS('V3 - Upstream Transport'!$R$31:$R$60,'V3 - Upstream Transport'!$D$31:$D$60,Summary!D95)</f>
        <v>0</v>
      </c>
      <c r="K95" s="46">
        <f>SUMIFS('V3 - Downstream Transport'!$R$31:$R$60,'V3 - Downstream Transport'!$D$31:$D$60,Summary!D95)</f>
        <v>0</v>
      </c>
      <c r="L95" s="46">
        <f>SUMIFS('V3 - Business Travel'!$P$31:$P$61,'V3 - Business Travel'!$D$31:$D$61,Summary!D95)</f>
        <v>0</v>
      </c>
      <c r="M95" s="46">
        <f>SUMIFS('V3 - Employee Commuting'!$P$31:$P$60,'V3 - Employee Commuting'!$D$31:$D$60,Summary!D95)</f>
        <v>0</v>
      </c>
      <c r="N95" s="46">
        <f>SUMIFS('V3 - Waste Generated in Ops'!$P$31:$P$72,'V3 - Waste Generated in Ops'!$D$31:$D$72,Summary!D95)</f>
        <v>0</v>
      </c>
      <c r="O95" s="46">
        <f>SUMIFS('V1 - Fuels (Stationary)'!$Y$31:$Y$60,'V1 - Fuels (Stationary)'!$D$31:$D$60,Summary!D95)+SUMIFS('V1 - Fuels (Mobile)'!$Y$31:$Y$60,'V1 - Fuels (Mobile)'!$D$31:$D$60,Summary!D95)+SUMIFS('V2 - Purchased Electricity'!$Y$31:$Y$60,'V2 - Purchased Electricity'!$D$31:$D$60,Summary!D95)+SUMIFS('V3 - Upstream Transport'!$AA$31:$AA$60,'V3 - Upstream Transport'!$D$31:$D$60,Summary!D95)+SUMIFS('V3 - Downstream Transport'!$AA$31:$AA$60,'V3 - Downstream Transport'!$D$31:$D$60,Summary!D95)+SUMIFS('V3 - Business Travel'!$Y$31:$Y$61,'V3 - Business Travel'!$D$31:$D$61,Summary!D95)+SUMIFS('V3 - Employee Commuting'!$Y$31:$Y$60,'V3 - Employee Commuting'!$D$31:$D$60,Summary!D95)</f>
        <v>0</v>
      </c>
      <c r="P95" s="2"/>
      <c r="Q95" s="2"/>
      <c r="R95" s="2"/>
      <c r="S95" s="2"/>
      <c r="T95" s="2"/>
      <c r="U95" s="2"/>
      <c r="V95" s="2"/>
      <c r="W95" s="2"/>
      <c r="X95" s="2"/>
      <c r="Y95" s="2"/>
      <c r="Z95" s="2"/>
      <c r="AA95" s="38"/>
    </row>
    <row r="96" spans="2:27" ht="15">
      <c r="B96" s="4"/>
      <c r="C96" s="12"/>
      <c r="D96" s="7" t="str">
        <v xml:space="preserve"> - </v>
      </c>
      <c r="E96" s="46">
        <f>SUMIFS('V1 - Fuels (Stationary)'!$P$31:$P$60,'V1 - Fuels (Stationary)'!$D$31:$D$60,Summary!D96)</f>
        <v>0</v>
      </c>
      <c r="F96" s="46">
        <f>SUMIFS('V1 - Fuels (Mobile)'!$P$31:$P$60,'V1 - Fuels (Mobile)'!$D$31:$D$60,Summary!D96)</f>
        <v>0</v>
      </c>
      <c r="G96" s="46">
        <f>SUMIFS('V1 - Refrigerants'!$O$31:$O$60,'V1 - Refrigerants'!$D$31:$D$60,Summary!D96)</f>
        <v>0</v>
      </c>
      <c r="H96" s="46">
        <f>SUMIFS('V2 - Purchased Electricity'!$P$31:$P$60,'V2 - Purchased Electricity'!$D$31:$D$60,Summary!D96)</f>
        <v>0</v>
      </c>
      <c r="I96" s="46">
        <f>SUMIFS('V2 - District Heating'!P45:P73,'V2 - District Heating'!D45:D73,Summary!D96)</f>
        <v>0</v>
      </c>
      <c r="J96" s="46">
        <f>SUMIFS('V3 - Upstream Transport'!$R$31:$R$60,'V3 - Upstream Transport'!$D$31:$D$60,Summary!D96)</f>
        <v>0</v>
      </c>
      <c r="K96" s="46">
        <f>SUMIFS('V3 - Downstream Transport'!$R$31:$R$60,'V3 - Downstream Transport'!$D$31:$D$60,Summary!D96)</f>
        <v>0</v>
      </c>
      <c r="L96" s="46">
        <f>SUMIFS('V3 - Business Travel'!$P$31:$P$61,'V3 - Business Travel'!$D$31:$D$61,Summary!D96)</f>
        <v>0</v>
      </c>
      <c r="M96" s="46">
        <f>SUMIFS('V3 - Employee Commuting'!$P$31:$P$60,'V3 - Employee Commuting'!$D$31:$D$60,Summary!D96)</f>
        <v>0</v>
      </c>
      <c r="N96" s="46">
        <f>SUMIFS('V3 - Waste Generated in Ops'!$P$31:$P$72,'V3 - Waste Generated in Ops'!$D$31:$D$72,Summary!D96)</f>
        <v>0</v>
      </c>
      <c r="O96" s="46">
        <f>SUMIFS('V1 - Fuels (Stationary)'!$Y$31:$Y$60,'V1 - Fuels (Stationary)'!$D$31:$D$60,Summary!D96)+SUMIFS('V1 - Fuels (Mobile)'!$Y$31:$Y$60,'V1 - Fuels (Mobile)'!$D$31:$D$60,Summary!D96)+SUMIFS('V2 - Purchased Electricity'!$Y$31:$Y$60,'V2 - Purchased Electricity'!$D$31:$D$60,Summary!D96)+SUMIFS('V3 - Upstream Transport'!$AA$31:$AA$60,'V3 - Upstream Transport'!$D$31:$D$60,Summary!D96)+SUMIFS('V3 - Downstream Transport'!$AA$31:$AA$60,'V3 - Downstream Transport'!$D$31:$D$60,Summary!D96)+SUMIFS('V3 - Business Travel'!$Y$31:$Y$61,'V3 - Business Travel'!$D$31:$D$61,Summary!D96)+SUMIFS('V3 - Employee Commuting'!$Y$31:$Y$60,'V3 - Employee Commuting'!$D$31:$D$60,Summary!D96)</f>
        <v>0</v>
      </c>
      <c r="P96" s="2"/>
      <c r="Q96" s="2"/>
      <c r="R96" s="2"/>
      <c r="S96" s="2"/>
      <c r="T96" s="2"/>
      <c r="U96" s="2"/>
      <c r="V96" s="2"/>
      <c r="W96" s="2"/>
      <c r="X96" s="2"/>
      <c r="Y96" s="2"/>
      <c r="Z96" s="2"/>
      <c r="AA96" s="38"/>
    </row>
    <row r="97" spans="2:27" ht="15">
      <c r="B97" s="4"/>
      <c r="C97" s="12"/>
      <c r="D97" s="7" t="str">
        <v xml:space="preserve"> - </v>
      </c>
      <c r="E97" s="46">
        <f>SUMIFS('V1 - Fuels (Stationary)'!$P$31:$P$60,'V1 - Fuels (Stationary)'!$D$31:$D$60,Summary!D97)</f>
        <v>0</v>
      </c>
      <c r="F97" s="46">
        <f>SUMIFS('V1 - Fuels (Mobile)'!$P$31:$P$60,'V1 - Fuels (Mobile)'!$D$31:$D$60,Summary!D97)</f>
        <v>0</v>
      </c>
      <c r="G97" s="46">
        <f>SUMIFS('V1 - Refrigerants'!$O$31:$O$60,'V1 - Refrigerants'!$D$31:$D$60,Summary!D97)</f>
        <v>0</v>
      </c>
      <c r="H97" s="46">
        <f>SUMIFS('V2 - Purchased Electricity'!$P$31:$P$60,'V2 - Purchased Electricity'!$D$31:$D$60,Summary!D97)</f>
        <v>0</v>
      </c>
      <c r="I97" s="46">
        <f>SUMIFS('V2 - District Heating'!P46:P74,'V2 - District Heating'!D46:D74,Summary!D97)</f>
        <v>0</v>
      </c>
      <c r="J97" s="46">
        <f>SUMIFS('V3 - Upstream Transport'!$R$31:$R$60,'V3 - Upstream Transport'!$D$31:$D$60,Summary!D97)</f>
        <v>0</v>
      </c>
      <c r="K97" s="46">
        <f>SUMIFS('V3 - Downstream Transport'!$R$31:$R$60,'V3 - Downstream Transport'!$D$31:$D$60,Summary!D97)</f>
        <v>0</v>
      </c>
      <c r="L97" s="46">
        <f>SUMIFS('V3 - Business Travel'!$P$31:$P$61,'V3 - Business Travel'!$D$31:$D$61,Summary!D97)</f>
        <v>0</v>
      </c>
      <c r="M97" s="46">
        <f>SUMIFS('V3 - Employee Commuting'!$P$31:$P$60,'V3 - Employee Commuting'!$D$31:$D$60,Summary!D97)</f>
        <v>0</v>
      </c>
      <c r="N97" s="46">
        <f>SUMIFS('V3 - Waste Generated in Ops'!$P$31:$P$72,'V3 - Waste Generated in Ops'!$D$31:$D$72,Summary!D97)</f>
        <v>0</v>
      </c>
      <c r="O97" s="46">
        <f>SUMIFS('V1 - Fuels (Stationary)'!$Y$31:$Y$60,'V1 - Fuels (Stationary)'!$D$31:$D$60,Summary!D97)+SUMIFS('V1 - Fuels (Mobile)'!$Y$31:$Y$60,'V1 - Fuels (Mobile)'!$D$31:$D$60,Summary!D97)+SUMIFS('V2 - Purchased Electricity'!$Y$31:$Y$60,'V2 - Purchased Electricity'!$D$31:$D$60,Summary!D97)+SUMIFS('V3 - Upstream Transport'!$AA$31:$AA$60,'V3 - Upstream Transport'!$D$31:$D$60,Summary!D97)+SUMIFS('V3 - Downstream Transport'!$AA$31:$AA$60,'V3 - Downstream Transport'!$D$31:$D$60,Summary!D97)+SUMIFS('V3 - Business Travel'!$Y$31:$Y$61,'V3 - Business Travel'!$D$31:$D$61,Summary!D97)+SUMIFS('V3 - Employee Commuting'!$Y$31:$Y$60,'V3 - Employee Commuting'!$D$31:$D$60,Summary!D97)</f>
        <v>0</v>
      </c>
      <c r="P97" s="2"/>
      <c r="Q97" s="2"/>
      <c r="R97" s="2"/>
      <c r="S97" s="2"/>
      <c r="T97" s="2"/>
      <c r="U97" s="2"/>
      <c r="V97" s="2"/>
      <c r="W97" s="2"/>
      <c r="X97" s="2"/>
      <c r="Y97" s="2"/>
      <c r="Z97" s="2"/>
      <c r="AA97" s="38"/>
    </row>
    <row r="98" spans="2:27" ht="15">
      <c r="B98" s="4"/>
      <c r="C98" s="12"/>
      <c r="D98" s="7" t="s">
        <v>164</v>
      </c>
      <c r="E98" s="46">
        <f>'V1 - Fuels (Stationary)'!P62-SUM(E$72:E$97)</f>
        <v>0</v>
      </c>
      <c r="F98" s="46">
        <f>'V1 - Fuels (Mobile)'!P62-SUM(F$72:F$97)</f>
        <v>0</v>
      </c>
      <c r="G98" s="46">
        <f>'V1 - Refrigerants'!O62-SUM(Summary!$G$72:$G$97)</f>
        <v>0</v>
      </c>
      <c r="H98" s="46">
        <f>'V2 - Purchased Electricity'!P62-SUM(Summary!$H$72:$H$97)</f>
        <v>0</v>
      </c>
      <c r="I98" s="46">
        <f>'V2 - District Heating'!P63-SUM(Summary!$I$72:$I$97)</f>
        <v>0</v>
      </c>
      <c r="J98" s="46">
        <f>'V3 - Upstream Transport'!R62-SUM(Summary!$J$72:$J$97)</f>
        <v>0</v>
      </c>
      <c r="K98" s="47">
        <f>'V3 - Downstream Transport'!R62-SUM(Summary!K72:K97)</f>
        <v>0</v>
      </c>
      <c r="L98" s="46">
        <f>'V3 - Business Travel'!P63-SUM(Summary!L72:L97)</f>
        <v>0</v>
      </c>
      <c r="M98" s="46">
        <f>'V3 - Employee Commuting'!P62-SUM(Summary!M72:M97)</f>
        <v>0</v>
      </c>
      <c r="N98" s="46">
        <f>'V3 - Waste Generated in Ops'!P74-SUM(Summary!N72:N97)</f>
        <v>0</v>
      </c>
      <c r="O98" s="46">
        <f>'V1 - Fuels (Stationary)'!Y62+'V1 - Fuels (Mobile)'!Y62+'V2 - Purchased Electricity'!Y62+'V3 - Upstream Transport'!AA62+'V3 - Downstream Transport'!AA62+'V3 - Business Travel'!Y63+'V3 - Employee Commuting'!Y62-SUM(O72:O97)</f>
        <v>0</v>
      </c>
      <c r="P98" s="2"/>
      <c r="Q98" s="2"/>
      <c r="R98" s="2"/>
      <c r="S98" s="2"/>
      <c r="T98" s="2"/>
      <c r="U98" s="2"/>
      <c r="V98" s="2"/>
      <c r="W98" s="2"/>
      <c r="X98" s="2"/>
      <c r="Y98" s="2"/>
      <c r="Z98" s="2"/>
      <c r="AA98" s="38"/>
    </row>
    <row r="99" spans="2:27" ht="15.75">
      <c r="B99" s="4"/>
      <c r="C99" s="12"/>
      <c r="D99" s="313" t="s">
        <v>146</v>
      </c>
      <c r="E99" s="65">
        <f t="shared" ref="E99:N99" si="2">SUM(E72:E98)</f>
        <v>0</v>
      </c>
      <c r="F99" s="65">
        <f t="shared" si="2"/>
        <v>0</v>
      </c>
      <c r="G99" s="65">
        <f t="shared" si="2"/>
        <v>0</v>
      </c>
      <c r="H99" s="65">
        <f t="shared" si="2"/>
        <v>0</v>
      </c>
      <c r="I99" s="65">
        <f t="shared" si="2"/>
        <v>0</v>
      </c>
      <c r="J99" s="65">
        <f t="shared" si="2"/>
        <v>0</v>
      </c>
      <c r="K99" s="66">
        <f t="shared" si="2"/>
        <v>0</v>
      </c>
      <c r="L99" s="65">
        <f t="shared" si="2"/>
        <v>0</v>
      </c>
      <c r="M99" s="65">
        <f t="shared" si="2"/>
        <v>0</v>
      </c>
      <c r="N99" s="65">
        <f t="shared" si="2"/>
        <v>0</v>
      </c>
      <c r="O99" s="65">
        <f t="shared" ref="O99" si="3">SUM(O72:O98)</f>
        <v>0</v>
      </c>
      <c r="P99" s="2"/>
      <c r="Q99" s="2"/>
      <c r="R99" s="2"/>
      <c r="S99" s="2"/>
      <c r="T99" s="2"/>
      <c r="U99" s="2"/>
      <c r="V99" s="2"/>
      <c r="W99" s="2"/>
      <c r="X99" s="2"/>
      <c r="Y99" s="2"/>
      <c r="Z99" s="2"/>
      <c r="AA99" s="38"/>
    </row>
    <row r="100" spans="2:27">
      <c r="B100" s="4"/>
      <c r="C100" s="12"/>
      <c r="D100" s="2"/>
      <c r="E100" s="2"/>
      <c r="F100" s="2"/>
      <c r="G100" s="2"/>
      <c r="H100" s="2"/>
      <c r="I100" s="2"/>
      <c r="J100" s="2"/>
      <c r="K100" s="2"/>
      <c r="L100" s="2"/>
      <c r="M100" s="2"/>
      <c r="N100" s="2"/>
      <c r="O100" s="2"/>
      <c r="P100" s="2"/>
      <c r="Q100" s="2"/>
      <c r="R100" s="2"/>
      <c r="S100" s="2"/>
      <c r="T100" s="2"/>
      <c r="U100" s="2"/>
      <c r="V100" s="2"/>
      <c r="W100" s="2"/>
      <c r="X100" s="2"/>
      <c r="Y100" s="2"/>
      <c r="Z100" s="2"/>
      <c r="AA100" s="38"/>
    </row>
    <row r="101" spans="2:27">
      <c r="B101" s="4"/>
      <c r="C101" s="12"/>
      <c r="D101" s="2"/>
      <c r="E101" s="2"/>
      <c r="F101" s="2"/>
      <c r="G101" s="2"/>
      <c r="H101" s="2"/>
      <c r="I101" s="2"/>
      <c r="J101" s="2"/>
      <c r="K101" s="2"/>
      <c r="L101" s="2"/>
      <c r="M101" s="2"/>
      <c r="N101" s="2"/>
      <c r="O101" s="2"/>
      <c r="P101" s="2"/>
      <c r="Q101" s="2"/>
      <c r="R101" s="2"/>
      <c r="S101" s="2"/>
      <c r="T101" s="2"/>
      <c r="U101" s="2"/>
      <c r="V101" s="2"/>
      <c r="W101" s="2"/>
      <c r="X101" s="2"/>
      <c r="Y101" s="2"/>
      <c r="Z101" s="2"/>
      <c r="AA101" s="38"/>
    </row>
    <row r="102" spans="2:27">
      <c r="B102" s="4"/>
      <c r="C102" s="12"/>
      <c r="D102" s="2"/>
      <c r="E102" s="2"/>
      <c r="F102" s="2"/>
      <c r="G102" s="2"/>
      <c r="H102" s="2"/>
      <c r="I102" s="2"/>
      <c r="J102" s="2"/>
      <c r="K102" s="2"/>
      <c r="L102" s="2"/>
      <c r="M102" s="2"/>
      <c r="N102" s="2"/>
      <c r="O102" s="2"/>
      <c r="P102" s="2"/>
      <c r="Q102" s="2"/>
      <c r="R102" s="2"/>
      <c r="S102" s="2"/>
      <c r="T102" s="2"/>
      <c r="U102" s="2"/>
      <c r="V102" s="2"/>
      <c r="W102" s="2"/>
      <c r="X102" s="2"/>
      <c r="Y102" s="2"/>
      <c r="Z102" s="2"/>
      <c r="AA102" s="38"/>
    </row>
    <row r="103" spans="2:27">
      <c r="B103" s="4"/>
      <c r="C103" s="12"/>
      <c r="D103" s="2"/>
      <c r="E103" s="2"/>
      <c r="F103" s="2"/>
      <c r="G103" s="2"/>
      <c r="H103" s="2"/>
      <c r="I103" s="2"/>
      <c r="J103" s="2"/>
      <c r="K103" s="2"/>
      <c r="L103" s="2"/>
      <c r="M103" s="2"/>
      <c r="N103" s="2"/>
      <c r="O103" s="2"/>
      <c r="P103" s="2"/>
      <c r="Q103" s="2"/>
      <c r="R103" s="2"/>
      <c r="S103" s="2"/>
      <c r="T103" s="2"/>
      <c r="U103" s="2"/>
      <c r="V103" s="2"/>
      <c r="W103" s="2"/>
      <c r="X103" s="2"/>
      <c r="Y103" s="2"/>
      <c r="Z103" s="2"/>
      <c r="AA103" s="38"/>
    </row>
    <row r="104" spans="2:27">
      <c r="B104" s="4"/>
      <c r="C104" s="12"/>
      <c r="D104" s="2"/>
      <c r="E104" s="2"/>
      <c r="F104" s="2"/>
      <c r="G104" s="2"/>
      <c r="H104" s="2"/>
      <c r="I104" s="2"/>
      <c r="J104" s="2"/>
      <c r="K104" s="2"/>
      <c r="L104" s="2"/>
      <c r="M104" s="2"/>
      <c r="N104" s="2"/>
      <c r="O104" s="2"/>
      <c r="P104" s="2"/>
      <c r="Q104" s="2"/>
      <c r="R104" s="2"/>
      <c r="S104" s="2"/>
      <c r="T104" s="2"/>
      <c r="U104" s="2"/>
      <c r="V104" s="2"/>
      <c r="W104" s="2"/>
      <c r="X104" s="2"/>
      <c r="Y104" s="2"/>
      <c r="Z104" s="2"/>
      <c r="AA104" s="38"/>
    </row>
    <row r="105" spans="2:27">
      <c r="B105" s="4"/>
      <c r="C105" s="12"/>
      <c r="D105" s="2"/>
      <c r="E105" s="2"/>
      <c r="F105" s="2"/>
      <c r="G105" s="2"/>
      <c r="H105" s="2"/>
      <c r="I105" s="2"/>
      <c r="J105" s="2"/>
      <c r="K105" s="2"/>
      <c r="L105" s="2"/>
      <c r="M105" s="2"/>
      <c r="N105" s="2"/>
      <c r="O105" s="2"/>
      <c r="P105" s="2"/>
      <c r="Q105" s="2"/>
      <c r="R105" s="2"/>
      <c r="S105" s="2"/>
      <c r="T105" s="2"/>
      <c r="U105" s="2"/>
      <c r="V105" s="2"/>
      <c r="W105" s="2"/>
      <c r="X105" s="2"/>
      <c r="Y105" s="2"/>
      <c r="Z105" s="2"/>
      <c r="AA105" s="38"/>
    </row>
    <row r="106" spans="2:27">
      <c r="B106" s="4"/>
      <c r="C106" s="12"/>
      <c r="D106" s="2"/>
      <c r="E106" s="2"/>
      <c r="F106" s="2"/>
      <c r="G106" s="2"/>
      <c r="H106" s="2"/>
      <c r="I106" s="2"/>
      <c r="J106" s="2"/>
      <c r="K106" s="2"/>
      <c r="L106" s="2"/>
      <c r="M106" s="2"/>
      <c r="N106" s="2"/>
      <c r="O106" s="2"/>
      <c r="P106" s="2"/>
      <c r="Q106" s="2"/>
      <c r="R106" s="2"/>
      <c r="S106" s="2"/>
      <c r="T106" s="2"/>
      <c r="U106" s="2"/>
      <c r="V106" s="2"/>
      <c r="W106" s="2"/>
      <c r="X106" s="2"/>
      <c r="Y106" s="2"/>
      <c r="Z106" s="2"/>
      <c r="AA106" s="38"/>
    </row>
    <row r="107" spans="2:27">
      <c r="B107" s="4"/>
      <c r="C107" s="12"/>
      <c r="D107" s="2"/>
      <c r="E107" s="2"/>
      <c r="F107" s="2"/>
      <c r="G107" s="2"/>
      <c r="H107" s="2"/>
      <c r="I107" s="2"/>
      <c r="J107" s="2"/>
      <c r="K107" s="2"/>
      <c r="L107" s="2"/>
      <c r="M107" s="2"/>
      <c r="N107" s="2"/>
      <c r="O107" s="2"/>
      <c r="P107" s="2"/>
      <c r="Q107" s="2"/>
      <c r="R107" s="2"/>
      <c r="S107" s="2"/>
      <c r="T107" s="2"/>
      <c r="U107" s="2"/>
      <c r="V107" s="2"/>
      <c r="W107" s="2"/>
      <c r="X107" s="2"/>
      <c r="Y107" s="2"/>
      <c r="Z107" s="2"/>
      <c r="AA107" s="38"/>
    </row>
    <row r="108" spans="2:27">
      <c r="B108" s="4"/>
      <c r="C108" s="12"/>
      <c r="D108" s="2"/>
      <c r="E108" s="2"/>
      <c r="F108" s="2"/>
      <c r="G108" s="2"/>
      <c r="H108" s="2"/>
      <c r="I108" s="2"/>
      <c r="J108" s="2"/>
      <c r="K108" s="2"/>
      <c r="L108" s="2"/>
      <c r="M108" s="2"/>
      <c r="N108" s="2"/>
      <c r="O108" s="2"/>
      <c r="P108" s="2"/>
      <c r="Q108" s="2"/>
      <c r="R108" s="2"/>
      <c r="S108" s="2"/>
      <c r="T108" s="2"/>
      <c r="U108" s="2"/>
      <c r="V108" s="2"/>
      <c r="W108" s="2"/>
      <c r="X108" s="2"/>
      <c r="Y108" s="2"/>
      <c r="Z108" s="2"/>
      <c r="AA108" s="38"/>
    </row>
    <row r="109" spans="2:27">
      <c r="B109" s="4"/>
      <c r="C109" s="12"/>
      <c r="D109" s="2"/>
      <c r="E109" s="2"/>
      <c r="F109" s="2"/>
      <c r="G109" s="2"/>
      <c r="H109" s="2"/>
      <c r="I109" s="2"/>
      <c r="J109" s="2"/>
      <c r="K109" s="2"/>
      <c r="L109" s="2"/>
      <c r="M109" s="2"/>
      <c r="N109" s="2"/>
      <c r="O109" s="2"/>
      <c r="P109" s="2"/>
      <c r="Q109" s="2"/>
      <c r="R109" s="2"/>
      <c r="S109" s="2"/>
      <c r="T109" s="2"/>
      <c r="U109" s="2"/>
      <c r="V109" s="2"/>
      <c r="W109" s="2"/>
      <c r="X109" s="2"/>
      <c r="Y109" s="2"/>
      <c r="Z109" s="2"/>
      <c r="AA109" s="38"/>
    </row>
    <row r="110" spans="2:27">
      <c r="B110" s="4"/>
      <c r="C110" s="12"/>
      <c r="D110" s="2"/>
      <c r="E110" s="2"/>
      <c r="F110" s="2"/>
      <c r="G110" s="2"/>
      <c r="H110" s="2"/>
      <c r="I110" s="2"/>
      <c r="J110" s="2"/>
      <c r="K110" s="2"/>
      <c r="L110" s="2"/>
      <c r="M110" s="2"/>
      <c r="N110" s="2"/>
      <c r="O110" s="2"/>
      <c r="P110" s="2"/>
      <c r="Q110" s="2"/>
      <c r="R110" s="2"/>
      <c r="S110" s="2"/>
      <c r="T110" s="2"/>
      <c r="U110" s="2"/>
      <c r="V110" s="2"/>
      <c r="W110" s="2"/>
      <c r="X110" s="2"/>
      <c r="Y110" s="2"/>
      <c r="Z110" s="2"/>
      <c r="AA110" s="38"/>
    </row>
    <row r="111" spans="2:27">
      <c r="B111" s="4"/>
      <c r="C111" s="12"/>
      <c r="D111" s="2"/>
      <c r="E111" s="2"/>
      <c r="F111" s="2"/>
      <c r="G111" s="2"/>
      <c r="H111" s="2"/>
      <c r="I111" s="2"/>
      <c r="J111" s="2"/>
      <c r="K111" s="2"/>
      <c r="L111" s="2"/>
      <c r="M111" s="2"/>
      <c r="N111" s="2"/>
      <c r="O111" s="2"/>
      <c r="P111" s="2"/>
      <c r="Q111" s="2"/>
      <c r="R111" s="2"/>
      <c r="S111" s="2"/>
      <c r="T111" s="2"/>
      <c r="U111" s="2"/>
      <c r="V111" s="2"/>
      <c r="W111" s="2"/>
      <c r="X111" s="2"/>
      <c r="Y111" s="2"/>
      <c r="Z111" s="2"/>
      <c r="AA111" s="38"/>
    </row>
  </sheetData>
  <sheetProtection algorithmName="SHA-512" hashValue="5O1eAiNmJPq0J4sl2okuSbcmKhipeGp2toIdzCslkP0cHuXvjbtvhr5tAizsslEl8BGfQbXM7mq0YKQup2DOWA==" saltValue="SXUAl/MafbD54AolyL7SgA==" spinCount="100000" sheet="1" objects="1" scenarios="1"/>
  <mergeCells count="2">
    <mergeCell ref="D12:L12"/>
    <mergeCell ref="D4:Q1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6AF25-96A6-4877-8831-217EC1C802FD}">
  <sheetPr codeName="Sheet4">
    <tabColor theme="9" tint="0.39997558519241921"/>
  </sheetPr>
  <dimension ref="A1:AD104"/>
  <sheetViews>
    <sheetView showGridLines="0" showRowColHeaders="0" topLeftCell="B2" zoomScale="75" zoomScaleNormal="75" workbookViewId="0">
      <selection activeCell="P20" sqref="P20"/>
    </sheetView>
  </sheetViews>
  <sheetFormatPr defaultColWidth="0" defaultRowHeight="14.25" zeroHeight="1"/>
  <cols>
    <col min="1" max="1" width="6.140625" style="71" hidden="1" customWidth="1"/>
    <col min="2" max="2" width="4.28515625" style="71" customWidth="1"/>
    <col min="3" max="3" width="4.7109375" style="178" customWidth="1"/>
    <col min="4" max="4" width="36.28515625" style="71" customWidth="1"/>
    <col min="5" max="5" width="44.28515625" style="71" customWidth="1"/>
    <col min="6" max="6" width="34.140625" style="71" customWidth="1"/>
    <col min="7" max="7" width="40.5703125" style="71" customWidth="1"/>
    <col min="8" max="8" width="45" style="71" hidden="1" customWidth="1"/>
    <col min="9" max="9" width="30.5703125" style="71" customWidth="1"/>
    <col min="10" max="12" width="21.5703125" style="71" customWidth="1"/>
    <col min="13" max="13" width="18.140625" style="71" customWidth="1"/>
    <col min="14" max="14" width="15.7109375" style="71" customWidth="1"/>
    <col min="15" max="15" width="20.7109375" style="71" customWidth="1"/>
    <col min="16" max="16" width="29.7109375" style="71" customWidth="1"/>
    <col min="17" max="17" width="100.85546875" style="71" customWidth="1"/>
    <col min="18" max="18" width="43.42578125" style="71" customWidth="1"/>
    <col min="19" max="19" width="14" style="71" customWidth="1"/>
    <col min="20" max="20" width="13.7109375" style="71" customWidth="1"/>
    <col min="21" max="21" width="30.7109375" style="71" customWidth="1"/>
    <col min="22" max="22" width="16.140625" style="71" customWidth="1"/>
    <col min="23" max="23" width="15.7109375" style="71" customWidth="1"/>
    <col min="24" max="24" width="20.7109375" style="71" customWidth="1"/>
    <col min="25" max="25" width="30.7109375" style="71" customWidth="1"/>
    <col min="26" max="26" width="100.7109375" style="71" customWidth="1"/>
    <col min="27" max="29" width="14" style="71" customWidth="1"/>
    <col min="30" max="30" width="14" style="179" customWidth="1"/>
    <col min="31" max="16384" width="14" style="71" hidden="1"/>
  </cols>
  <sheetData>
    <row r="1" spans="1:30" ht="14.1" hidden="1" customHeight="1">
      <c r="C1" s="71"/>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row>
    <row r="2" spans="1:30" ht="13.5" customHeight="1">
      <c r="A2" s="71" t="str">
        <f>Introduction!$E$14</f>
        <v>Føroyskt</v>
      </c>
      <c r="B2" s="167"/>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row>
    <row r="3" spans="1:30">
      <c r="A3" s="168" t="s">
        <v>0</v>
      </c>
      <c r="B3" s="166"/>
      <c r="C3" s="169"/>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1"/>
    </row>
    <row r="4" spans="1:30" ht="5.0999999999999996" customHeight="1">
      <c r="A4" s="71" t="s">
        <v>165</v>
      </c>
      <c r="B4" s="172"/>
      <c r="C4" s="173"/>
      <c r="D4" s="418" t="str">
        <f>IF($A$2="English",_xlfn.XLOOKUP($A$3,Descriptions!$A:$A,Descriptions!$B:$B),_xlfn.XLOOKUP($A$3,Descriptions!$A:$A,Descriptions!$C:$C))</f>
        <v>Føroyskur CO2-roknari. Ár: 2023</v>
      </c>
      <c r="E4" s="418"/>
      <c r="F4" s="418"/>
      <c r="G4" s="418"/>
      <c r="H4" s="418"/>
      <c r="I4" s="418"/>
      <c r="J4" s="418"/>
      <c r="K4" s="418"/>
      <c r="L4" s="418"/>
      <c r="M4" s="418"/>
      <c r="N4" s="418"/>
      <c r="O4" s="418"/>
      <c r="P4" s="418"/>
      <c r="Q4" s="418"/>
      <c r="R4" s="418"/>
      <c r="S4" s="418"/>
      <c r="T4" s="418"/>
      <c r="U4" s="418"/>
      <c r="V4" s="418"/>
      <c r="W4" s="418"/>
      <c r="X4" s="418"/>
      <c r="Y4" s="418"/>
      <c r="Z4" s="418"/>
      <c r="AA4" s="67"/>
      <c r="AB4" s="67"/>
      <c r="AC4" s="67"/>
      <c r="AD4" s="151"/>
    </row>
    <row r="5" spans="1:30" ht="5.0999999999999996" customHeight="1">
      <c r="A5" s="71" t="s">
        <v>166</v>
      </c>
      <c r="B5" s="166"/>
      <c r="C5" s="173"/>
      <c r="D5" s="418"/>
      <c r="E5" s="418"/>
      <c r="F5" s="418"/>
      <c r="G5" s="418"/>
      <c r="H5" s="418"/>
      <c r="I5" s="418"/>
      <c r="J5" s="418"/>
      <c r="K5" s="418"/>
      <c r="L5" s="418"/>
      <c r="M5" s="418"/>
      <c r="N5" s="418"/>
      <c r="O5" s="418"/>
      <c r="P5" s="418"/>
      <c r="Q5" s="418"/>
      <c r="R5" s="418"/>
      <c r="S5" s="418"/>
      <c r="T5" s="418"/>
      <c r="U5" s="418"/>
      <c r="V5" s="418"/>
      <c r="W5" s="418"/>
      <c r="X5" s="418"/>
      <c r="Y5" s="418"/>
      <c r="Z5" s="418"/>
      <c r="AA5" s="67"/>
      <c r="AB5" s="67"/>
      <c r="AC5" s="67"/>
      <c r="AD5" s="151"/>
    </row>
    <row r="6" spans="1:30" ht="5.0999999999999996" customHeight="1">
      <c r="A6" s="71" t="s">
        <v>131</v>
      </c>
      <c r="B6" s="166"/>
      <c r="C6" s="173"/>
      <c r="D6" s="418"/>
      <c r="E6" s="418"/>
      <c r="F6" s="418"/>
      <c r="G6" s="418"/>
      <c r="H6" s="418"/>
      <c r="I6" s="418"/>
      <c r="J6" s="418"/>
      <c r="K6" s="418"/>
      <c r="L6" s="418"/>
      <c r="M6" s="418"/>
      <c r="N6" s="418"/>
      <c r="O6" s="418"/>
      <c r="P6" s="418"/>
      <c r="Q6" s="418"/>
      <c r="R6" s="418"/>
      <c r="S6" s="418"/>
      <c r="T6" s="418"/>
      <c r="U6" s="418"/>
      <c r="V6" s="418"/>
      <c r="W6" s="418"/>
      <c r="X6" s="418"/>
      <c r="Y6" s="418"/>
      <c r="Z6" s="418"/>
      <c r="AA6" s="67"/>
      <c r="AB6" s="67"/>
      <c r="AC6" s="67"/>
      <c r="AD6" s="151"/>
    </row>
    <row r="7" spans="1:30" ht="5.0999999999999996" customHeight="1">
      <c r="A7" s="71" t="s">
        <v>167</v>
      </c>
      <c r="B7" s="166"/>
      <c r="C7" s="173"/>
      <c r="D7" s="418"/>
      <c r="E7" s="418"/>
      <c r="F7" s="418"/>
      <c r="G7" s="418"/>
      <c r="H7" s="418"/>
      <c r="I7" s="418"/>
      <c r="J7" s="418"/>
      <c r="K7" s="418"/>
      <c r="L7" s="418"/>
      <c r="M7" s="418"/>
      <c r="N7" s="418"/>
      <c r="O7" s="418"/>
      <c r="P7" s="418"/>
      <c r="Q7" s="418"/>
      <c r="R7" s="418"/>
      <c r="S7" s="418"/>
      <c r="T7" s="418"/>
      <c r="U7" s="418"/>
      <c r="V7" s="418"/>
      <c r="W7" s="418"/>
      <c r="X7" s="418"/>
      <c r="Y7" s="418"/>
      <c r="Z7" s="418"/>
      <c r="AA7" s="67"/>
      <c r="AB7" s="67"/>
      <c r="AC7" s="67"/>
      <c r="AD7" s="151"/>
    </row>
    <row r="8" spans="1:30" ht="5.0999999999999996" customHeight="1">
      <c r="A8" s="71" t="s">
        <v>168</v>
      </c>
      <c r="B8" s="166"/>
      <c r="C8" s="173"/>
      <c r="D8" s="418"/>
      <c r="E8" s="418"/>
      <c r="F8" s="418"/>
      <c r="G8" s="418"/>
      <c r="H8" s="418"/>
      <c r="I8" s="418"/>
      <c r="J8" s="418"/>
      <c r="K8" s="418"/>
      <c r="L8" s="418"/>
      <c r="M8" s="418"/>
      <c r="N8" s="418"/>
      <c r="O8" s="418"/>
      <c r="P8" s="418"/>
      <c r="Q8" s="418"/>
      <c r="R8" s="418"/>
      <c r="S8" s="418"/>
      <c r="T8" s="418"/>
      <c r="U8" s="418"/>
      <c r="V8" s="418"/>
      <c r="W8" s="418"/>
      <c r="X8" s="418"/>
      <c r="Y8" s="418"/>
      <c r="Z8" s="418"/>
      <c r="AA8" s="67"/>
      <c r="AB8" s="67"/>
      <c r="AC8" s="67"/>
      <c r="AD8" s="151"/>
    </row>
    <row r="9" spans="1:30" ht="5.0999999999999996" customHeight="1">
      <c r="A9" s="71" t="s">
        <v>169</v>
      </c>
      <c r="B9" s="166"/>
      <c r="C9" s="173"/>
      <c r="D9" s="418"/>
      <c r="E9" s="418"/>
      <c r="F9" s="418"/>
      <c r="G9" s="418"/>
      <c r="H9" s="418"/>
      <c r="I9" s="418"/>
      <c r="J9" s="418"/>
      <c r="K9" s="418"/>
      <c r="L9" s="418"/>
      <c r="M9" s="418"/>
      <c r="N9" s="418"/>
      <c r="O9" s="418"/>
      <c r="P9" s="418"/>
      <c r="Q9" s="418"/>
      <c r="R9" s="418"/>
      <c r="S9" s="418"/>
      <c r="T9" s="418"/>
      <c r="U9" s="418"/>
      <c r="V9" s="418"/>
      <c r="W9" s="418"/>
      <c r="X9" s="418"/>
      <c r="Y9" s="418"/>
      <c r="Z9" s="418"/>
      <c r="AA9" s="67"/>
      <c r="AB9" s="67"/>
      <c r="AC9" s="67"/>
      <c r="AD9" s="151"/>
    </row>
    <row r="10" spans="1:30" ht="5.0999999999999996" customHeight="1">
      <c r="A10" s="71" t="s">
        <v>170</v>
      </c>
      <c r="B10" s="166"/>
      <c r="C10" s="173"/>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67"/>
      <c r="AB10" s="67"/>
      <c r="AC10" s="67"/>
      <c r="AD10" s="151"/>
    </row>
    <row r="11" spans="1:30" ht="5.0999999999999996" customHeight="1">
      <c r="A11" s="71" t="s">
        <v>171</v>
      </c>
      <c r="B11" s="166"/>
      <c r="C11" s="173"/>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67"/>
      <c r="AB11" s="67"/>
      <c r="AC11" s="67"/>
      <c r="AD11" s="151"/>
    </row>
    <row r="12" spans="1:30" ht="99.95" customHeight="1">
      <c r="A12" s="71" t="s">
        <v>172</v>
      </c>
      <c r="B12" s="166"/>
      <c r="C12" s="173"/>
      <c r="D12" s="419" t="str">
        <f>IF($A$2="English",_xlfn.XLOOKUP($A$4,Descriptions!$A:$A,Descriptions!$B:$B),_xlfn.XLOOKUP($A$4,Descriptions!$A:$A,Descriptions!$C:$C))</f>
        <v>Vav 1 - Brennievni - brenning á føstum skipanum</v>
      </c>
      <c r="E12" s="419"/>
      <c r="F12" s="419"/>
      <c r="G12" s="419"/>
      <c r="H12" s="419"/>
      <c r="I12" s="419"/>
      <c r="J12" s="419"/>
      <c r="K12" s="419"/>
      <c r="L12" s="419"/>
      <c r="M12" s="419"/>
      <c r="N12" s="419"/>
      <c r="O12" s="419"/>
      <c r="P12" s="419"/>
      <c r="Q12" s="419"/>
      <c r="R12" s="419"/>
      <c r="S12" s="419"/>
      <c r="T12" s="419"/>
      <c r="U12" s="419"/>
      <c r="V12" s="419"/>
      <c r="W12" s="419"/>
      <c r="X12" s="419"/>
      <c r="Y12" s="419"/>
      <c r="Z12" s="419"/>
      <c r="AA12" s="67"/>
      <c r="AB12" s="67"/>
      <c r="AC12" s="67"/>
      <c r="AD12" s="151"/>
    </row>
    <row r="13" spans="1:30">
      <c r="A13" s="71" t="s">
        <v>173</v>
      </c>
      <c r="B13" s="166"/>
      <c r="C13" s="173"/>
      <c r="D13" s="67"/>
      <c r="E13" s="67"/>
      <c r="F13" s="67"/>
      <c r="G13" s="67" t="s">
        <v>174</v>
      </c>
      <c r="H13" s="67"/>
      <c r="I13" s="67"/>
      <c r="J13" s="67"/>
      <c r="K13" s="67"/>
      <c r="L13" s="67"/>
      <c r="M13" s="67"/>
      <c r="N13" s="67"/>
      <c r="O13" s="67"/>
      <c r="P13" s="67"/>
      <c r="Q13" s="67"/>
      <c r="R13" s="67"/>
      <c r="S13" s="67"/>
      <c r="T13" s="67"/>
      <c r="U13" s="67"/>
      <c r="V13" s="67"/>
      <c r="W13" s="67"/>
      <c r="X13" s="67"/>
      <c r="Y13" s="67"/>
      <c r="Z13" s="67"/>
      <c r="AA13" s="67"/>
      <c r="AB13" s="67"/>
      <c r="AC13" s="67"/>
      <c r="AD13" s="151"/>
    </row>
    <row r="14" spans="1:30" ht="30" customHeight="1">
      <c r="A14" s="71" t="s">
        <v>175</v>
      </c>
      <c r="B14" s="166"/>
      <c r="C14" s="173"/>
      <c r="D14" s="437" t="str">
        <f>IF($A$2="English",_xlfn.XLOOKUP($A$6,Descriptions!$A:$A,Descriptions!$B:$B),_xlfn.XLOOKUP($A$6,Descriptions!$A:$A,Descriptions!$C:$C))</f>
        <v>Vegleiðing</v>
      </c>
      <c r="E14" s="437"/>
      <c r="F14" s="437"/>
      <c r="G14" s="437"/>
      <c r="H14" s="437"/>
      <c r="I14" s="437"/>
      <c r="J14" s="437"/>
      <c r="K14" s="437"/>
      <c r="L14" s="437"/>
      <c r="M14" s="437"/>
      <c r="N14" s="437"/>
      <c r="O14" s="67"/>
      <c r="P14" s="347" t="str">
        <f>'Organisation Details'!I14</f>
        <v>Lykil</v>
      </c>
      <c r="Q14" s="67"/>
      <c r="R14" s="67"/>
      <c r="S14" s="67"/>
      <c r="T14" s="67"/>
      <c r="U14" s="67"/>
      <c r="V14" s="67"/>
      <c r="W14" s="67"/>
      <c r="X14" s="67"/>
      <c r="Y14" s="67"/>
      <c r="Z14" s="67"/>
      <c r="AA14" s="67"/>
      <c r="AB14" s="67"/>
      <c r="AC14" s="67"/>
      <c r="AD14" s="151"/>
    </row>
    <row r="15" spans="1:30" ht="14.1" customHeight="1">
      <c r="A15" s="71" t="s">
        <v>176</v>
      </c>
      <c r="B15" s="166"/>
      <c r="C15" s="173"/>
      <c r="D15" s="424" t="str">
        <f>IF($A$2="English",_xlfn.XLOOKUP($A$5,Descriptions!$A:$A,Descriptions!$B:$B),_xlfn.XLOOKUP($A$5,Descriptions!$A:$A,Descriptions!$C:$C))</f>
        <v>Vav 1 - Brennievni (Brenning á føstum skipanum) fevnir um brennievnisnýtslu til at framleiða el, hita, damp, ella orku. Til dømis at brenna gass, olju ella kol í generatori, oljufýri ella aðrari útgerð, sum letur vakstrarhúsgass út í lofthavið. Brúkarin skal savna dátur um brenning í føstum keldum (t.d. maskinum og generatorum).
Kravdar dátur:
• Fasilitetur/ogn og staðseting (har brennievni verður brent)
• Virksemi (har brennievni verður brent)
• Brent brennievni
• Útlátsfaktorsbólkur (um ókendur, vel 'Sjálvgivin')
• Nøgd av brennievni, sum er brent
• Eind fyri brent brennievni
GG:
• Tons = 1000 kg
• 'Útlátsfaktorsbólkar' eru skilmarkaðir eftir keldunum til útlátsfaktorarnar. Hesir útlátfaktorar eru sermerkt fyri brenning av brennievnum innan ymsar geirar. Er útlátsvirðisbólkurin ókendur, vel so 'Default'. 
• kWh virðini fyri øll brennievni frá 'BEIS 2023 Conversions Factors' eru 'Gross Calorific virði (Gross CV)'.</v>
      </c>
      <c r="E15" s="424"/>
      <c r="F15" s="424"/>
      <c r="G15" s="424"/>
      <c r="H15" s="424"/>
      <c r="I15" s="424"/>
      <c r="J15" s="424"/>
      <c r="K15" s="424"/>
      <c r="L15" s="424"/>
      <c r="M15" s="424"/>
      <c r="N15" s="424"/>
      <c r="O15" s="67"/>
      <c r="P15" s="81" t="str">
        <f>'Organisation Details'!I15</f>
        <v>Dátuíkast - Fallmynd</v>
      </c>
      <c r="Q15" s="94"/>
      <c r="R15" s="67"/>
      <c r="S15" s="67"/>
      <c r="T15" s="67"/>
      <c r="U15" s="67"/>
      <c r="V15" s="67"/>
      <c r="W15" s="67"/>
      <c r="X15" s="67"/>
      <c r="Y15" s="67"/>
      <c r="Z15" s="67"/>
      <c r="AA15" s="67"/>
      <c r="AB15" s="67"/>
      <c r="AC15" s="67"/>
      <c r="AD15" s="151"/>
    </row>
    <row r="16" spans="1:30" ht="14.1" customHeight="1">
      <c r="A16" s="71" t="s">
        <v>177</v>
      </c>
      <c r="B16" s="166"/>
      <c r="C16" s="173"/>
      <c r="D16" s="424"/>
      <c r="E16" s="424"/>
      <c r="F16" s="424"/>
      <c r="G16" s="424"/>
      <c r="H16" s="424"/>
      <c r="I16" s="424"/>
      <c r="J16" s="424"/>
      <c r="K16" s="424"/>
      <c r="L16" s="424"/>
      <c r="M16" s="424"/>
      <c r="N16" s="424"/>
      <c r="O16" s="67"/>
      <c r="P16" s="82" t="str">
        <f>'Organisation Details'!I16</f>
        <v>Dátuíkast - Tøppa inn</v>
      </c>
      <c r="Q16" s="94"/>
      <c r="R16" s="94"/>
      <c r="S16" s="67"/>
      <c r="T16" s="67"/>
      <c r="U16" s="67"/>
      <c r="V16" s="67"/>
      <c r="W16" s="67"/>
      <c r="X16" s="67"/>
      <c r="Y16" s="67"/>
      <c r="Z16" s="67"/>
      <c r="AA16" s="67"/>
      <c r="AB16" s="67"/>
      <c r="AC16" s="67"/>
      <c r="AD16" s="151"/>
    </row>
    <row r="17" spans="1:30" ht="14.1" customHeight="1">
      <c r="A17" s="71" t="s">
        <v>178</v>
      </c>
      <c r="B17" s="166"/>
      <c r="C17" s="173"/>
      <c r="D17" s="424"/>
      <c r="E17" s="424"/>
      <c r="F17" s="424"/>
      <c r="G17" s="424"/>
      <c r="H17" s="424"/>
      <c r="I17" s="424"/>
      <c r="J17" s="424"/>
      <c r="K17" s="424"/>
      <c r="L17" s="424"/>
      <c r="M17" s="424"/>
      <c r="N17" s="424"/>
      <c r="O17" s="67"/>
      <c r="P17" s="302" t="str">
        <f>'Organisation Details'!I17</f>
        <v>Leiting (fastløst)</v>
      </c>
      <c r="Q17" s="94"/>
      <c r="R17" s="94"/>
      <c r="S17" s="67"/>
      <c r="T17" s="67"/>
      <c r="U17" s="67"/>
      <c r="V17" s="67"/>
      <c r="W17" s="67"/>
      <c r="X17" s="67"/>
      <c r="Y17" s="67"/>
      <c r="Z17" s="67"/>
      <c r="AA17" s="67"/>
      <c r="AB17" s="67"/>
      <c r="AC17" s="67"/>
      <c r="AD17" s="151"/>
    </row>
    <row r="18" spans="1:30" ht="14.1" customHeight="1">
      <c r="A18" s="71" t="s">
        <v>179</v>
      </c>
      <c r="B18" s="166"/>
      <c r="C18" s="173"/>
      <c r="D18" s="424"/>
      <c r="E18" s="424"/>
      <c r="F18" s="424"/>
      <c r="G18" s="424"/>
      <c r="H18" s="424"/>
      <c r="I18" s="424"/>
      <c r="J18" s="424"/>
      <c r="K18" s="424"/>
      <c r="L18" s="424"/>
      <c r="M18" s="424"/>
      <c r="N18" s="424"/>
      <c r="O18" s="67"/>
      <c r="P18" s="83" t="str">
        <f>'Organisation Details'!I18</f>
        <v>Útrokning</v>
      </c>
      <c r="Q18" s="94"/>
      <c r="R18" s="94"/>
      <c r="S18" s="67"/>
      <c r="T18" s="67"/>
      <c r="U18" s="67"/>
      <c r="V18" s="67"/>
      <c r="W18" s="67"/>
      <c r="X18" s="67"/>
      <c r="Y18" s="67"/>
      <c r="Z18" s="67"/>
      <c r="AA18" s="67"/>
      <c r="AB18" s="67"/>
      <c r="AC18" s="67"/>
      <c r="AD18" s="151"/>
    </row>
    <row r="19" spans="1:30" ht="99.95" customHeight="1">
      <c r="A19" s="71" t="s">
        <v>180</v>
      </c>
      <c r="B19" s="166"/>
      <c r="C19" s="173"/>
      <c r="D19" s="424"/>
      <c r="E19" s="424"/>
      <c r="F19" s="424"/>
      <c r="G19" s="424"/>
      <c r="H19" s="424"/>
      <c r="I19" s="424"/>
      <c r="J19" s="424"/>
      <c r="K19" s="424"/>
      <c r="L19" s="424"/>
      <c r="M19" s="424"/>
      <c r="N19" s="424"/>
      <c r="O19" s="67"/>
      <c r="P19" s="67"/>
      <c r="Q19" s="67"/>
      <c r="R19" s="94"/>
      <c r="S19" s="67"/>
      <c r="T19" s="67"/>
      <c r="U19" s="67"/>
      <c r="V19" s="67"/>
      <c r="W19" s="67"/>
      <c r="X19" s="67"/>
      <c r="Y19" s="67"/>
      <c r="Z19" s="67"/>
      <c r="AA19" s="67"/>
      <c r="AB19" s="67"/>
      <c r="AC19" s="67"/>
      <c r="AD19" s="151"/>
    </row>
    <row r="20" spans="1:30" ht="99.95" customHeight="1">
      <c r="A20" s="71" t="s">
        <v>181</v>
      </c>
      <c r="B20" s="166"/>
      <c r="C20" s="173"/>
      <c r="D20" s="424"/>
      <c r="E20" s="424"/>
      <c r="F20" s="424"/>
      <c r="G20" s="424"/>
      <c r="H20" s="424"/>
      <c r="I20" s="424"/>
      <c r="J20" s="424"/>
      <c r="K20" s="424"/>
      <c r="L20" s="424"/>
      <c r="M20" s="424"/>
      <c r="N20" s="424"/>
      <c r="O20" s="67"/>
      <c r="P20" s="67"/>
      <c r="Q20" s="67"/>
      <c r="R20" s="94"/>
      <c r="S20" s="67"/>
      <c r="T20" s="67"/>
      <c r="U20" s="67"/>
      <c r="V20" s="67"/>
      <c r="W20" s="67"/>
      <c r="X20" s="67"/>
      <c r="Y20" s="67"/>
      <c r="Z20" s="67"/>
      <c r="AA20" s="67"/>
      <c r="AB20" s="67"/>
      <c r="AC20" s="67"/>
      <c r="AD20" s="151"/>
    </row>
    <row r="21" spans="1:30" ht="40.35" customHeight="1">
      <c r="A21" s="71" t="s">
        <v>182</v>
      </c>
      <c r="B21" s="166"/>
      <c r="C21" s="173"/>
      <c r="D21" s="67"/>
      <c r="E21" s="67"/>
      <c r="F21" s="67"/>
      <c r="G21" s="67"/>
      <c r="H21" s="67"/>
      <c r="I21" s="67"/>
      <c r="J21" s="67"/>
      <c r="K21" s="67"/>
      <c r="L21" s="67"/>
      <c r="M21" s="67"/>
      <c r="N21" s="67"/>
      <c r="O21" s="67"/>
      <c r="P21" s="67"/>
      <c r="Q21" s="67"/>
      <c r="R21" s="67"/>
      <c r="S21" s="67"/>
      <c r="AA21" s="67"/>
      <c r="AB21" s="67"/>
      <c r="AC21" s="67"/>
      <c r="AD21" s="151"/>
    </row>
    <row r="22" spans="1:30" ht="30" customHeight="1">
      <c r="A22" s="71" t="s">
        <v>183</v>
      </c>
      <c r="B22" s="166"/>
      <c r="C22" s="173"/>
      <c r="D22" s="438" t="str">
        <f>IF($A$2="English",_xlfn.XLOOKUP($A$7,Descriptions!$A:$A,Descriptions!$B:$B),_xlfn.XLOOKUP($A$7,Descriptions!$A:$A,Descriptions!$C:$C))</f>
        <v>Dømi</v>
      </c>
      <c r="E22" s="438"/>
      <c r="F22" s="438"/>
      <c r="G22" s="438"/>
      <c r="H22" s="438"/>
      <c r="I22" s="438"/>
      <c r="J22" s="438"/>
      <c r="K22" s="438"/>
      <c r="L22" s="438"/>
      <c r="M22" s="438"/>
      <c r="N22" s="438"/>
      <c r="O22" s="438"/>
      <c r="P22" s="438"/>
      <c r="Q22" s="438"/>
      <c r="R22" s="438"/>
      <c r="S22" s="67"/>
      <c r="T22" s="448" t="s">
        <v>184</v>
      </c>
      <c r="U22" s="448"/>
      <c r="V22" s="448"/>
      <c r="W22" s="448"/>
      <c r="X22" s="448"/>
      <c r="Y22" s="448"/>
      <c r="Z22" s="448"/>
      <c r="AA22" s="67"/>
      <c r="AB22" s="67"/>
      <c r="AC22" s="67"/>
      <c r="AD22" s="151"/>
    </row>
    <row r="23" spans="1:30" ht="30" customHeight="1">
      <c r="A23" s="71" t="s">
        <v>184</v>
      </c>
      <c r="B23" s="166"/>
      <c r="C23" s="173"/>
      <c r="D23" s="307" t="str">
        <f>IF($A$2="English",_xlfn.XLOOKUP($A$8,Descriptions!$A:$A,Descriptions!$B:$B),_xlfn.XLOOKUP($A$8,Descriptions!$A:$A,Descriptions!$C:$C))</f>
        <v>Fasilitetur/Ogn og staðseting</v>
      </c>
      <c r="E23" s="307" t="str">
        <f>IF($A$2="English",_xlfn.XLOOKUP($A$9,Descriptions!$A:$A,Descriptions!$B:$B),_xlfn.XLOOKUP($A$9,Descriptions!$A:$A,Descriptions!$C:$C))</f>
        <v>Virksemi</v>
      </c>
      <c r="F23" s="307" t="str">
        <f>IF($A$2="English",_xlfn.XLOOKUP($A$10,Descriptions!$A:$A,Descriptions!$B:$B),_xlfn.XLOOKUP($A$10,Descriptions!$A:$A,Descriptions!$C:$C))</f>
        <v>Brent brennievni</v>
      </c>
      <c r="G23" s="307" t="str">
        <f>IF($A$2="English",_xlfn.XLOOKUP($A$11,Descriptions!$A:$A,Descriptions!$B:$B),_xlfn.XLOOKUP($A$11,Descriptions!$A:$A,Descriptions!$C:$C))</f>
        <v>Útlátsfaktorur - bólkur</v>
      </c>
      <c r="H23" s="307" t="s">
        <v>185</v>
      </c>
      <c r="I23" s="307" t="str">
        <f>IF($A$2="English",_xlfn.XLOOKUP($A$13,Descriptions!$A:$A,Descriptions!$B:$B),_xlfn.XLOOKUP($A$13,Descriptions!$A:$A,Descriptions!$C:$C))</f>
        <v>Nøgd</v>
      </c>
      <c r="J23" s="307" t="str">
        <f>IF($A$2="English",_xlfn.XLOOKUP($A$14,Descriptions!$A:$A,Descriptions!$B:$B),_xlfn.XLOOKUP($A$14,Descriptions!$A:$A,Descriptions!$C:$C))</f>
        <v>Eindir</v>
      </c>
      <c r="K23" s="307" t="s">
        <v>186</v>
      </c>
      <c r="L23" s="307" t="s">
        <v>187</v>
      </c>
      <c r="M23" s="307" t="s">
        <v>188</v>
      </c>
      <c r="N23" s="307" t="str">
        <f>IF($A$2="English",_xlfn.XLOOKUP($A$18,Descriptions!$A:$A,Descriptions!$B:$B),_xlfn.XLOOKUP($A$18,Descriptions!$A:$A,Descriptions!$C:$C))</f>
        <v>Útlátsfaktorur</v>
      </c>
      <c r="O23" s="307" t="str">
        <f>IF($A$2="English",_xlfn.XLOOKUP($A$19,Descriptions!$A:$A,Descriptions!$B:$B),_xlfn.XLOOKUP($A$19,Descriptions!$A:$A,Descriptions!$C:$C))</f>
        <v>Útlátsfaktorur Eind</v>
      </c>
      <c r="P23" s="307" t="str">
        <f>IF($A$2="English",_xlfn.XLOOKUP($A$20,Descriptions!$A:$A,Descriptions!$B:$B),_xlfn.XLOOKUP($A$20,Descriptions!$A:$A,Descriptions!$C:$C))</f>
        <v>Útlát av vakstrarhúsgassi (tons av CO2e)</v>
      </c>
      <c r="Q23" s="307" t="str">
        <f>IF($A$2="English",_xlfn.XLOOKUP($A$21,Descriptions!$A:$A,Descriptions!$B:$B),_xlfn.XLOOKUP($A$21,Descriptions!$A:$A,Descriptions!$C:$C))</f>
        <v>Kelda Útlátsfaktorur</v>
      </c>
      <c r="R23" s="307" t="str">
        <f>IF($A$2="English",_xlfn.XLOOKUP($A$22,Descriptions!$A:$A,Descriptions!$B:$B),_xlfn.XLOOKUP($A$22,Descriptions!$A:$A,Descriptions!$C:$C))</f>
        <v>Viðmerking frá brúkara</v>
      </c>
      <c r="S23" s="67"/>
      <c r="T23" s="307" t="s">
        <v>186</v>
      </c>
      <c r="U23" s="307" t="s">
        <v>187</v>
      </c>
      <c r="V23" s="307" t="s">
        <v>188</v>
      </c>
      <c r="W23" s="307" t="str">
        <f>IF($A$2="English",_xlfn.XLOOKUP($A$18,Descriptions!$A:$A,Descriptions!$B:$B),_xlfn.XLOOKUP($A$18,Descriptions!$A:$A,Descriptions!$C:$C))</f>
        <v>Útlátsfaktorur</v>
      </c>
      <c r="X23" s="307" t="str">
        <f>IF($A$2="English",_xlfn.XLOOKUP($A$19,Descriptions!$A:$A,Descriptions!$B:$B),_xlfn.XLOOKUP($A$19,Descriptions!$A:$A,Descriptions!$C:$C))</f>
        <v>Útlátsfaktorur Eind</v>
      </c>
      <c r="Y23" s="307" t="str">
        <f>IF($A$2="English",_xlfn.XLOOKUP($A$20,Descriptions!$A:$A,Descriptions!$B:$B),_xlfn.XLOOKUP($A$20,Descriptions!$A:$A,Descriptions!$C:$C))</f>
        <v>Útlát av vakstrarhúsgassi (tons av CO2e)</v>
      </c>
      <c r="Z23" s="307" t="str">
        <f>IF($A$2="English",_xlfn.XLOOKUP($A$21,Descriptions!$A:$A,Descriptions!$B:$B),_xlfn.XLOOKUP($A$21,Descriptions!$A:$A,Descriptions!$C:$C))</f>
        <v>Kelda Útlátsfaktorur</v>
      </c>
      <c r="AA23" s="67"/>
      <c r="AB23" s="67"/>
      <c r="AC23" s="67"/>
      <c r="AD23" s="151"/>
    </row>
    <row r="24" spans="1:30">
      <c r="A24" s="71" t="s">
        <v>146</v>
      </c>
      <c r="B24" s="166"/>
      <c r="C24" s="173"/>
      <c r="D24" s="95" t="s">
        <v>189</v>
      </c>
      <c r="E24" s="96" t="s">
        <v>190</v>
      </c>
      <c r="F24" s="95" t="s">
        <v>191</v>
      </c>
      <c r="G24" s="95" t="s">
        <v>192</v>
      </c>
      <c r="H24" s="97" t="str">
        <f t="shared" ref="H24:H25" si="0">F24&amp;G24</f>
        <v>Gas/diesel oilDefault</v>
      </c>
      <c r="I24" s="98">
        <v>10000</v>
      </c>
      <c r="J24" s="95" t="s">
        <v>193</v>
      </c>
      <c r="K24" s="97" t="str">
        <f>IF(J24="","",J24)</f>
        <v>Litre</v>
      </c>
      <c r="L24" s="303" t="str">
        <f>IF(J24="","",_xlfn.XLOOKUP(H24,'Emission Factors'!$M$18:$M$65,'Emission Factors'!$U$18:$U$65))</f>
        <v>GJ</v>
      </c>
      <c r="M24" s="304">
        <f>IF($J24="","",IF(OR($J24="Litre",$J24="Tonne"),_xlfn.XLOOKUP(F24&amp;L24&amp;K24,Conversions!$E$20:$E$104,Conversions!$F$20:$F$104),INDEX(Conversions!$C$4:$I$10,MATCH('V1 - Fuels (Stationary)'!$K24,Conversions!$B$4:$B$10,0),MATCH('V1 - Fuels (Stationary)'!$L24,Conversions!$C$3:$I$3,0))))</f>
        <v>3.8370048576280555E-2</v>
      </c>
      <c r="N24" s="304">
        <f>IF(J24="","",_xlfn.XLOOKUP(H24,'Emission Factors'!$M$18:$M$65,'Emission Factors'!$T$18:$T$65)*M24)</f>
        <v>2.8483821384368704</v>
      </c>
      <c r="O24" s="305" t="str">
        <f>IF(J24="","","kgCO2e/"&amp;K24)</f>
        <v>kgCO2e/Litre</v>
      </c>
      <c r="P24" s="99">
        <f>IF(ISBLANK(I24)=TRUE,"",IF(ISBLANK(N24)=TRUE,"",I24*N24)/1000)</f>
        <v>28.483821384368703</v>
      </c>
      <c r="Q24" s="306" t="str">
        <f>IF(J24="","",_xlfn.XLOOKUP(H24,'Emission Factors'!$M:$M,'Emission Factors'!$W:$W))</f>
        <v>Faroe Islands Emission Factors - Umhvørvisstovan - Denmark National Inventory Report 2021</v>
      </c>
      <c r="R24" s="96"/>
      <c r="S24" s="67"/>
      <c r="T24" s="303" t="str">
        <f>K24</f>
        <v>Litre</v>
      </c>
      <c r="U24" s="303" t="str">
        <f>IF(J24="","",_xlfn.XLOOKUP(H24,'Emission Factors'!$M$432:$M$787,'Emission Factors'!$U$432:$U$787))</f>
        <v>kWh</v>
      </c>
      <c r="V24" s="309">
        <f>IF($J24="","",IF(OR($J24="Litre",$J24="Tonne"),_xlfn.XLOOKUP(F24&amp;U24&amp;T24,Conversions!$E$20:$E$104,Conversions!$F$20:$F$104),INDEX(Conversions!$C$4:$I$10,MATCH('V1 - Fuels (Stationary)'!$T24,Conversions!$B$4:$B$10,0),MATCH('V1 - Fuels (Stationary)'!$U24,Conversions!$C$3:$I$3,0))))</f>
        <v>10.7425133377468</v>
      </c>
      <c r="W24" s="309">
        <f>IF(J24="","",_xlfn.XLOOKUP(H24,'Emission Factors'!$M$432:$M$787,'Emission Factors'!$S$432:$S$787)*V24)</f>
        <v>0.63251918532653162</v>
      </c>
      <c r="X24" s="305" t="str">
        <f>IF(J24="","","kgCO2e/"&amp;T24)</f>
        <v>kgCO2e/Litre</v>
      </c>
      <c r="Y24" s="100">
        <f>IF(ISBLANK(I24)=TRUE,"",IF(ISBLANK(W24)=TRUE,"",I24*W24)/1000)</f>
        <v>6.3251918532653164</v>
      </c>
      <c r="Z24" s="303" t="str">
        <f>IF(J24="","",_xlfn.XLOOKUP(H24,'Emission Factors'!$M$432:$M$787,'Emission Factors'!$W$432:$W$787))</f>
        <v xml:space="preserve">UK Government (BEIS) Greenhouse gas reporting: conversion factors (2023) - WTT - Fuels - Liquid fuels - Gas Oil </v>
      </c>
      <c r="AA24" s="67"/>
      <c r="AB24" s="67"/>
      <c r="AC24" s="67"/>
      <c r="AD24" s="151"/>
    </row>
    <row r="25" spans="1:30">
      <c r="A25" s="71" t="s">
        <v>115</v>
      </c>
      <c r="B25" s="166"/>
      <c r="C25" s="173"/>
      <c r="D25" s="95" t="s">
        <v>194</v>
      </c>
      <c r="E25" s="377" t="s">
        <v>195</v>
      </c>
      <c r="F25" s="95" t="s">
        <v>196</v>
      </c>
      <c r="G25" s="95" t="s">
        <v>192</v>
      </c>
      <c r="H25" s="97" t="str">
        <f t="shared" si="0"/>
        <v>Heavy fuel oilDefault</v>
      </c>
      <c r="I25" s="98">
        <v>5000</v>
      </c>
      <c r="J25" s="95" t="s">
        <v>193</v>
      </c>
      <c r="K25" s="97" t="str">
        <f>IF(J25="","",J25)</f>
        <v>Litre</v>
      </c>
      <c r="L25" s="303" t="str">
        <f>IF(J25="","",_xlfn.XLOOKUP(H25,'Emission Factors'!$M$18:$M$65,'Emission Factors'!$U$18:$U$65))</f>
        <v>GJ</v>
      </c>
      <c r="M25" s="304">
        <f>IF($J25="","",IF(OR($J25="Litre",$J25="Tonne"),_xlfn.XLOOKUP(F25&amp;L25&amp;K25,Conversions!$E$20:$E$104,Conversions!$F$20:$F$104),INDEX(Conversions!$C$4:$I$10,MATCH('V1 - Fuels (Stationary)'!$K25,Conversions!$B$4:$B$10,0),MATCH('V1 - Fuels (Stationary)'!$L25,Conversions!$C$3:$I$3,0))))</f>
        <v>4.2626894391408113E-2</v>
      </c>
      <c r="N25" s="304">
        <f>IF(J25="","",_xlfn.XLOOKUP(H25,'Emission Factors'!$M$18:$M$65,'Emission Factors'!$T$18:$T$65)*M25)</f>
        <v>3.3961550105392302</v>
      </c>
      <c r="O25" s="305" t="str">
        <f>IF(J25="","","kgCO2e/"&amp;K25)</f>
        <v>kgCO2e/Litre</v>
      </c>
      <c r="P25" s="99">
        <f>IF(ISBLANK(I25)=TRUE,"",IF(ISBLANK(N25)=TRUE,"",I25*N25)/1000)</f>
        <v>16.980775052696149</v>
      </c>
      <c r="Q25" s="306" t="str">
        <f>IF(J25="","",_xlfn.XLOOKUP(H25,'Emission Factors'!$M:$M,'Emission Factors'!$W:$W))</f>
        <v>Faroe Islands Emission Factors - Umhvørvisstovan - Denmark National Inventory Report 2021</v>
      </c>
      <c r="R25" s="96"/>
      <c r="S25" s="67"/>
      <c r="T25" s="303" t="str">
        <f t="shared" ref="T25" si="1">K25</f>
        <v>Litre</v>
      </c>
      <c r="U25" s="303" t="str">
        <f>IF(J25="","",_xlfn.XLOOKUP(H25,'Emission Factors'!$M$432:$M$787,'Emission Factors'!$U$432:$U$787))</f>
        <v>kWh</v>
      </c>
      <c r="V25" s="309">
        <f>IF($J25="","",IF(OR($J25="Litre",$J25="Tonne"),_xlfn.XLOOKUP(F25&amp;U25&amp;T25,Conversions!$E$20:$E$104,Conversions!$F$20:$F$104),INDEX(Conversions!$C$4:$I$10,MATCH('V1 - Fuels (Stationary)'!$T25,Conversions!$B$4:$B$10,0),MATCH('V1 - Fuels (Stationary)'!$U25,Conversions!$C$3:$I$3,0))))</f>
        <v>11.840803997613365</v>
      </c>
      <c r="W25" s="309">
        <f>IF(J25="","",_xlfn.XLOOKUP(H25,'Emission Factors'!$M$432:$M$787,'Emission Factors'!$S$432:$S$787)*V25)</f>
        <v>0.69718653937947495</v>
      </c>
      <c r="X25" s="305" t="str">
        <f>IF(J25="","","kgCO2e/"&amp;T25)</f>
        <v>kgCO2e/Litre</v>
      </c>
      <c r="Y25" s="100">
        <f>IF(ISBLANK(I25)=TRUE,"",IF(ISBLANK(W25)=TRUE,"",I25*W25)/1000)</f>
        <v>3.4859326968973745</v>
      </c>
      <c r="Z25" s="303" t="str">
        <f>IF(J25="","",_xlfn.XLOOKUP(H25,'Emission Factors'!$M$432:$M$787,'Emission Factors'!$W$432:$W$787))</f>
        <v xml:space="preserve">UK Government (BEIS) Greenhouse gas reporting: conversion factors (2023) - WTT - Fuels - Liquid fuels - Fuel Oil </v>
      </c>
      <c r="AA25" s="67"/>
      <c r="AB25" s="67"/>
      <c r="AC25" s="67"/>
      <c r="AD25" s="151"/>
    </row>
    <row r="26" spans="1:30">
      <c r="B26" s="166"/>
      <c r="C26" s="173"/>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1"/>
    </row>
    <row r="27" spans="1:30" ht="15.6" customHeight="1">
      <c r="B27" s="166"/>
      <c r="C27" s="173"/>
      <c r="D27" s="301" t="str">
        <f>'Organisation Details'!$I$24</f>
        <v>Fyritøka</v>
      </c>
      <c r="E27" s="101">
        <f>'Organisation Details'!$E$24</f>
        <v>0</v>
      </c>
      <c r="F27" s="67"/>
      <c r="G27" s="67"/>
      <c r="H27" s="67"/>
      <c r="I27" s="102"/>
      <c r="J27" s="67"/>
      <c r="K27" s="67"/>
      <c r="L27" s="67"/>
      <c r="M27" s="67"/>
      <c r="N27" s="67"/>
      <c r="O27" s="67"/>
      <c r="P27" s="67"/>
      <c r="Q27" s="67"/>
      <c r="R27" s="67"/>
      <c r="S27" s="67"/>
      <c r="T27" s="67"/>
      <c r="U27" s="67"/>
      <c r="V27" s="67"/>
      <c r="W27" s="67"/>
      <c r="X27" s="67"/>
      <c r="Y27" s="67"/>
      <c r="Z27" s="67"/>
      <c r="AA27" s="67"/>
      <c r="AB27" s="67"/>
      <c r="AC27" s="67"/>
      <c r="AD27" s="151"/>
    </row>
    <row r="28" spans="1:30" ht="17.25" customHeight="1">
      <c r="B28" s="166"/>
      <c r="C28" s="173"/>
      <c r="D28" s="67"/>
      <c r="E28" s="67"/>
      <c r="F28" s="67"/>
      <c r="G28" s="67"/>
      <c r="H28" s="67"/>
      <c r="I28" s="67"/>
      <c r="J28" s="67"/>
      <c r="K28" s="67"/>
      <c r="L28" s="67"/>
      <c r="M28" s="67"/>
      <c r="N28" s="67"/>
      <c r="O28" s="67"/>
      <c r="P28" s="94"/>
      <c r="Q28" s="67"/>
      <c r="R28" s="67"/>
      <c r="S28" s="67"/>
      <c r="T28" s="67"/>
      <c r="U28" s="67"/>
      <c r="V28" s="67"/>
      <c r="W28" s="67"/>
      <c r="X28" s="67"/>
      <c r="Y28" s="67"/>
      <c r="Z28" s="67"/>
      <c r="AA28" s="67"/>
      <c r="AB28" s="67"/>
      <c r="AC28" s="67"/>
      <c r="AD28" s="151"/>
    </row>
    <row r="29" spans="1:30" ht="30" customHeight="1">
      <c r="B29" s="166"/>
      <c r="C29" s="173"/>
      <c r="D29" s="437" t="str">
        <f>IF($A$2="English",_xlfn.XLOOKUP($A$25,Descriptions!$A:$A,Descriptions!$B:$B),_xlfn.XLOOKUP($A$25,Descriptions!$A:$A,Descriptions!$C:$C))</f>
        <v>Talva við útlátsútrokningum</v>
      </c>
      <c r="E29" s="437"/>
      <c r="F29" s="437"/>
      <c r="G29" s="437"/>
      <c r="H29" s="437"/>
      <c r="I29" s="437"/>
      <c r="J29" s="437"/>
      <c r="K29" s="437"/>
      <c r="L29" s="437"/>
      <c r="M29" s="437"/>
      <c r="N29" s="437"/>
      <c r="O29" s="437"/>
      <c r="P29" s="437"/>
      <c r="Q29" s="437"/>
      <c r="R29" s="437"/>
      <c r="S29" s="67"/>
      <c r="T29" s="67"/>
      <c r="U29" s="67"/>
      <c r="V29" s="67"/>
      <c r="W29" s="67"/>
      <c r="X29" s="67"/>
      <c r="Y29" s="67"/>
      <c r="Z29" s="67"/>
      <c r="AA29" s="67"/>
      <c r="AB29" s="67"/>
      <c r="AC29" s="67"/>
      <c r="AD29" s="151"/>
    </row>
    <row r="30" spans="1:30" ht="30" customHeight="1">
      <c r="B30" s="166"/>
      <c r="C30" s="173"/>
      <c r="D30" s="307" t="str">
        <f>D23</f>
        <v>Fasilitetur/Ogn og staðseting</v>
      </c>
      <c r="E30" s="307" t="str">
        <f t="shared" ref="E30:R30" si="2">E23</f>
        <v>Virksemi</v>
      </c>
      <c r="F30" s="307" t="str">
        <f t="shared" si="2"/>
        <v>Brent brennievni</v>
      </c>
      <c r="G30" s="307" t="str">
        <f>G23</f>
        <v>Útlátsfaktorur - bólkur</v>
      </c>
      <c r="H30" s="307" t="str">
        <f t="shared" si="2"/>
        <v>Concat</v>
      </c>
      <c r="I30" s="307" t="str">
        <f t="shared" si="2"/>
        <v>Nøgd</v>
      </c>
      <c r="J30" s="307" t="str">
        <f t="shared" si="2"/>
        <v>Eindir</v>
      </c>
      <c r="K30" s="307" t="str">
        <f t="shared" si="2"/>
        <v>Input Unit</v>
      </c>
      <c r="L30" s="307" t="str">
        <f t="shared" si="2"/>
        <v>Source Emission Factor Unit</v>
      </c>
      <c r="M30" s="307" t="str">
        <f t="shared" si="2"/>
        <v>Conversion Factor</v>
      </c>
      <c r="N30" s="307" t="str">
        <f t="shared" si="2"/>
        <v>Útlátsfaktorur</v>
      </c>
      <c r="O30" s="307" t="str">
        <f t="shared" si="2"/>
        <v>Útlátsfaktorur Eind</v>
      </c>
      <c r="P30" s="307" t="str">
        <f t="shared" si="2"/>
        <v>Útlát av vakstrarhúsgassi (tons av CO2e)</v>
      </c>
      <c r="Q30" s="307" t="str">
        <f t="shared" si="2"/>
        <v>Kelda Útlátsfaktorur</v>
      </c>
      <c r="R30" s="307" t="str">
        <f t="shared" si="2"/>
        <v>Viðmerking frá brúkara</v>
      </c>
      <c r="S30" s="67"/>
      <c r="T30" s="308" t="str">
        <f>T23</f>
        <v>Input Unit</v>
      </c>
      <c r="U30" s="308" t="str">
        <f t="shared" ref="U30:Z30" si="3">U23</f>
        <v>Source Emission Factor Unit</v>
      </c>
      <c r="V30" s="308" t="str">
        <f t="shared" si="3"/>
        <v>Conversion Factor</v>
      </c>
      <c r="W30" s="308" t="str">
        <f t="shared" si="3"/>
        <v>Útlátsfaktorur</v>
      </c>
      <c r="X30" s="308" t="str">
        <f t="shared" si="3"/>
        <v>Útlátsfaktorur Eind</v>
      </c>
      <c r="Y30" s="308" t="str">
        <f t="shared" si="3"/>
        <v>Útlát av vakstrarhúsgassi (tons av CO2e)</v>
      </c>
      <c r="Z30" s="308" t="str">
        <f t="shared" si="3"/>
        <v>Kelda Útlátsfaktorur</v>
      </c>
      <c r="AB30" s="67"/>
      <c r="AC30" s="67"/>
      <c r="AD30" s="151"/>
    </row>
    <row r="31" spans="1:30">
      <c r="B31" s="166"/>
      <c r="C31" s="173"/>
      <c r="D31" s="103"/>
      <c r="E31" s="104"/>
      <c r="F31" s="103"/>
      <c r="G31" s="103"/>
      <c r="H31" s="382" t="str">
        <f>F31&amp;G31</f>
        <v/>
      </c>
      <c r="I31" s="106"/>
      <c r="J31" s="103"/>
      <c r="K31" s="97" t="str">
        <f>IF(J31="","",J31)</f>
        <v/>
      </c>
      <c r="L31" s="303" t="str">
        <f>IF(J31="","",_xlfn.XLOOKUP(H31,'Emission Factors'!$M$18:$M$65,'Emission Factors'!$U$18:$U$65))</f>
        <v/>
      </c>
      <c r="M31" s="304" t="str">
        <f>IF($J31="","",IF(OR($J31="Litre",$J31="Tonne"),_xlfn.XLOOKUP(F31&amp;L31&amp;K31,Conversions!$E$20:$E$104,Conversions!$F$20:$F$104),INDEX(Conversions!$C$4:$I$10,MATCH('V1 - Fuels (Stationary)'!$K31,Conversions!$B$4:$B$10,0),MATCH('V1 - Fuels (Stationary)'!$L31,Conversions!$C$3:$I$3,0))))</f>
        <v/>
      </c>
      <c r="N31" s="304" t="str">
        <f>IF(J31="","",_xlfn.XLOOKUP(H31,'Emission Factors'!$M$18:$M$65,'Emission Factors'!$T$18:$T$65)*M31)</f>
        <v/>
      </c>
      <c r="O31" s="305" t="str">
        <f>IF(J31="","","kgCO2e/"&amp;K31)</f>
        <v/>
      </c>
      <c r="P31" s="107" t="str">
        <f t="shared" ref="P31:P60" si="4">IF(ISBLANK(I31)=TRUE,"",IF(ISBLANK(N31)=TRUE,"",I31*N31)/1000)</f>
        <v/>
      </c>
      <c r="Q31" s="306" t="str">
        <f>IF(J31="","",_xlfn.XLOOKUP(H31,'Emission Factors'!$M:$M,'Emission Factors'!$W:$W))</f>
        <v/>
      </c>
      <c r="R31" s="104"/>
      <c r="S31" s="67"/>
      <c r="T31" s="306" t="str">
        <f>K31</f>
        <v/>
      </c>
      <c r="U31" s="306" t="str">
        <f>IF(J31="","",_xlfn.XLOOKUP(H31,'Emission Factors'!$M$432:$M$787,'Emission Factors'!$U$432:$U$787))</f>
        <v/>
      </c>
      <c r="V31" s="310" t="str">
        <f>IF($J31="","",IF(OR($J31="Litre",$J31="Tonne"),_xlfn.XLOOKUP(F31&amp;U31&amp;T31,Conversions!$E$20:$E$104,Conversions!$F$20:$F$104),INDEX(Conversions!$C$4:$I$10,MATCH('V1 - Fuels (Stationary)'!$T31,Conversions!$B$4:$B$10,0),MATCH('V1 - Fuels (Stationary)'!$U31,Conversions!$C$3:$I$3,0))))</f>
        <v/>
      </c>
      <c r="W31" s="310" t="str">
        <f>IF(J31="","",_xlfn.XLOOKUP(H31,'Emission Factors'!$M$432:$M$787,'Emission Factors'!$S$432:$S$787)*V31)</f>
        <v/>
      </c>
      <c r="X31" s="311" t="str">
        <f>IF(J31="","","kgCO2e/"&amp;T31)</f>
        <v/>
      </c>
      <c r="Y31" s="110" t="str">
        <f>IF(ISBLANK(I31)=TRUE,"",IF(ISBLANK(W31)=TRUE,"",I31*W31)/1000)</f>
        <v/>
      </c>
      <c r="Z31" s="306" t="str">
        <f>IF(J31="","",_xlfn.XLOOKUP(H31,'Emission Factors'!$M$432:$M$787,'Emission Factors'!$W$432:$W$787))</f>
        <v/>
      </c>
      <c r="AA31" s="67"/>
      <c r="AB31" s="67"/>
      <c r="AC31" s="67"/>
      <c r="AD31" s="151"/>
    </row>
    <row r="32" spans="1:30">
      <c r="B32" s="166"/>
      <c r="C32" s="173"/>
      <c r="D32" s="103"/>
      <c r="E32" s="104"/>
      <c r="F32" s="103"/>
      <c r="G32" s="103"/>
      <c r="H32" s="105" t="str">
        <f>F32&amp;G32</f>
        <v/>
      </c>
      <c r="I32" s="106"/>
      <c r="J32" s="103"/>
      <c r="K32" s="97" t="str">
        <f t="shared" ref="K32:K60" si="5">IF(J32="","",J32)</f>
        <v/>
      </c>
      <c r="L32" s="303" t="str">
        <f>IF(J32="","",_xlfn.XLOOKUP(H32,'Emission Factors'!$M$18:$M$65,'Emission Factors'!$U$18:$U$65))</f>
        <v/>
      </c>
      <c r="M32" s="304" t="str">
        <f>IF($J32="","",IF(OR($J32="Litre",$J32="Tonne"),_xlfn.XLOOKUP(F32&amp;L32&amp;K32,Conversions!$E$20:$E$104,Conversions!$F$20:$F$104),INDEX(Conversions!$C$4:$I$10,MATCH('V1 - Fuels (Stationary)'!$K32,Conversions!$B$4:$B$10,0),MATCH('V1 - Fuels (Stationary)'!$L32,Conversions!$C$3:$I$3,0))))</f>
        <v/>
      </c>
      <c r="N32" s="304" t="str">
        <f>IF(J32="","",_xlfn.XLOOKUP(H32,'Emission Factors'!$M$18:$M$65,'Emission Factors'!$T$18:$T$65)*M32)</f>
        <v/>
      </c>
      <c r="O32" s="305" t="str">
        <f t="shared" ref="O32:O33" si="6">IF(J32="","","kgCO2e/"&amp;K32)</f>
        <v/>
      </c>
      <c r="P32" s="112" t="str">
        <f t="shared" si="4"/>
        <v/>
      </c>
      <c r="Q32" s="306" t="str">
        <f>IF(J32="","",_xlfn.XLOOKUP(H32,'Emission Factors'!$M:$M,'Emission Factors'!$W:$W))</f>
        <v/>
      </c>
      <c r="R32" s="111"/>
      <c r="S32" s="67"/>
      <c r="T32" s="306" t="str">
        <f t="shared" ref="T32:T60" si="7">K32</f>
        <v/>
      </c>
      <c r="U32" s="306" t="str">
        <f>IF(J32="","",_xlfn.XLOOKUP(H32,'Emission Factors'!$M$432:$M$787,'Emission Factors'!$U$432:$U$787))</f>
        <v/>
      </c>
      <c r="V32" s="310" t="str">
        <f>IF($J32="","",IF(OR($J32="Litre",$J32="Tonne"),_xlfn.XLOOKUP(F32&amp;U32&amp;T32,Conversions!$E$20:$E$104,Conversions!$F$20:$F$104),INDEX(Conversions!$C$4:$I$10,MATCH('V1 - Fuels (Stationary)'!$T32,Conversions!$B$4:$B$10,0),MATCH('V1 - Fuels (Stationary)'!$U32,Conversions!$C$3:$I$3,0))))</f>
        <v/>
      </c>
      <c r="W32" s="310" t="str">
        <f>IF(J32="","",_xlfn.XLOOKUP(H32,'Emission Factors'!$M$432:$M$787,'Emission Factors'!$S$432:$S$787)*V32)</f>
        <v/>
      </c>
      <c r="X32" s="311" t="str">
        <f t="shared" ref="X32:X60" si="8">IF(J32="","","kgCO2e/"&amp;T32)</f>
        <v/>
      </c>
      <c r="Y32" s="110" t="str">
        <f>IF(ISBLANK(I32)=TRUE,"",IF(ISBLANK(W32)=TRUE,"",I32*W32)/1000)</f>
        <v/>
      </c>
      <c r="Z32" s="306" t="str">
        <f>IF(J32="","",_xlfn.XLOOKUP(H32,'Emission Factors'!$M$432:$M$787,'Emission Factors'!$W$432:$W$787))</f>
        <v/>
      </c>
      <c r="AA32" s="67"/>
      <c r="AB32" s="67"/>
      <c r="AC32" s="67"/>
      <c r="AD32" s="151"/>
    </row>
    <row r="33" spans="2:30">
      <c r="B33" s="166"/>
      <c r="C33" s="173"/>
      <c r="D33" s="103"/>
      <c r="E33" s="104"/>
      <c r="F33" s="103"/>
      <c r="G33" s="103"/>
      <c r="H33" s="105" t="str">
        <f t="shared" ref="H33:H40" si="9">F33&amp;G33</f>
        <v/>
      </c>
      <c r="I33" s="113"/>
      <c r="J33" s="103"/>
      <c r="K33" s="97" t="str">
        <f t="shared" si="5"/>
        <v/>
      </c>
      <c r="L33" s="303" t="str">
        <f>IF(J33="","",_xlfn.XLOOKUP(H33,'Emission Factors'!$M$18:$M$65,'Emission Factors'!$U$18:$U$65))</f>
        <v/>
      </c>
      <c r="M33" s="304" t="str">
        <f>IF($J33="","",IF(OR($J33="Litre",$J33="Tonne"),_xlfn.XLOOKUP(F33&amp;L33&amp;K33,Conversions!$E$20:$E$104,Conversions!$F$20:$F$104),INDEX(Conversions!$C$4:$I$10,MATCH('V1 - Fuels (Stationary)'!$K33,Conversions!$B$4:$B$10,0),MATCH('V1 - Fuels (Stationary)'!$L33,Conversions!$C$3:$I$3,0))))</f>
        <v/>
      </c>
      <c r="N33" s="304" t="str">
        <f>IF(J33="","",_xlfn.XLOOKUP(H33,'Emission Factors'!$M$18:$M$65,'Emission Factors'!$T$18:$T$65)*M33)</f>
        <v/>
      </c>
      <c r="O33" s="305" t="str">
        <f t="shared" si="6"/>
        <v/>
      </c>
      <c r="P33" s="107" t="str">
        <f t="shared" si="4"/>
        <v/>
      </c>
      <c r="Q33" s="306" t="str">
        <f>IF(J33="","",_xlfn.XLOOKUP(H33,'Emission Factors'!$M:$M,'Emission Factors'!$W:$W))</f>
        <v/>
      </c>
      <c r="R33" s="111"/>
      <c r="S33" s="67"/>
      <c r="T33" s="306" t="str">
        <f t="shared" si="7"/>
        <v/>
      </c>
      <c r="U33" s="306" t="str">
        <f>IF(J33="","",_xlfn.XLOOKUP(H33,'Emission Factors'!$M$432:$M$787,'Emission Factors'!$U$432:$U$787))</f>
        <v/>
      </c>
      <c r="V33" s="310" t="str">
        <f>IF($J33="","",IF(OR($J33="Litre",$J33="Tonne"),_xlfn.XLOOKUP(F33&amp;U33&amp;T33,Conversions!$E$20:$E$104,Conversions!$F$20:$F$104),INDEX(Conversions!$C$4:$I$10,MATCH('V1 - Fuels (Stationary)'!$T33,Conversions!$B$4:$B$10,0),MATCH('V1 - Fuels (Stationary)'!$U33,Conversions!$C$3:$I$3,0))))</f>
        <v/>
      </c>
      <c r="W33" s="310" t="str">
        <f>IF(J33="","",_xlfn.XLOOKUP(H33,'Emission Factors'!$M$432:$M$787,'Emission Factors'!$S$432:$S$787)*V33)</f>
        <v/>
      </c>
      <c r="X33" s="311" t="str">
        <f t="shared" si="8"/>
        <v/>
      </c>
      <c r="Y33" s="110" t="str">
        <f>IF(ISBLANK(I33)=TRUE,"",IF(ISBLANK(W33)=TRUE,"",I33*W33)/1000)</f>
        <v/>
      </c>
      <c r="Z33" s="306" t="str">
        <f>IF(J33="","",_xlfn.XLOOKUP(H33,'Emission Factors'!$M$432:$M$787,'Emission Factors'!$W$432:$W$787))</f>
        <v/>
      </c>
      <c r="AA33" s="67"/>
      <c r="AB33" s="67"/>
      <c r="AC33" s="67"/>
      <c r="AD33" s="151"/>
    </row>
    <row r="34" spans="2:30">
      <c r="B34" s="166"/>
      <c r="C34" s="173"/>
      <c r="D34" s="103"/>
      <c r="E34" s="111"/>
      <c r="F34" s="103"/>
      <c r="G34" s="103"/>
      <c r="H34" s="105" t="str">
        <f t="shared" si="9"/>
        <v/>
      </c>
      <c r="I34" s="113"/>
      <c r="J34" s="103"/>
      <c r="K34" s="97" t="str">
        <f t="shared" si="5"/>
        <v/>
      </c>
      <c r="L34" s="303" t="str">
        <f>IF(J34="","",_xlfn.XLOOKUP(H34,'Emission Factors'!$M$18:$M$65,'Emission Factors'!$U$18:$U$65))</f>
        <v/>
      </c>
      <c r="M34" s="304" t="str">
        <f>IF($J34="","",IF(OR($J34="Litre",$J34="Tonne"),_xlfn.XLOOKUP(F34&amp;L34&amp;K34,Conversions!$E$20:$E$104,Conversions!$F$20:$F$104),INDEX(Conversions!$C$4:$I$10,MATCH('V1 - Fuels (Stationary)'!$K34,Conversions!$B$4:$B$10,0),MATCH('V1 - Fuels (Stationary)'!$L34,Conversions!$C$3:$I$3,0))))</f>
        <v/>
      </c>
      <c r="N34" s="304" t="str">
        <f>IF(J34="","",_xlfn.XLOOKUP(H34,'Emission Factors'!$M$18:$M$65,'Emission Factors'!$T$18:$T$65)*M34)</f>
        <v/>
      </c>
      <c r="O34" s="305" t="str">
        <f t="shared" ref="O34:O60" si="10">IF(J34="","","kgCO2e/"&amp;K34)</f>
        <v/>
      </c>
      <c r="P34" s="107" t="str">
        <f t="shared" si="4"/>
        <v/>
      </c>
      <c r="Q34" s="306" t="str">
        <f>IF(J34="","",_xlfn.XLOOKUP(H34,'Emission Factors'!$M:$M,'Emission Factors'!$W:$W))</f>
        <v/>
      </c>
      <c r="R34" s="111"/>
      <c r="S34" s="67"/>
      <c r="T34" s="306" t="str">
        <f t="shared" si="7"/>
        <v/>
      </c>
      <c r="U34" s="306" t="str">
        <f>IF(J34="","",_xlfn.XLOOKUP(H34,'Emission Factors'!$M$432:$M$787,'Emission Factors'!$U$432:$U$787))</f>
        <v/>
      </c>
      <c r="V34" s="310" t="str">
        <f>IF($J34="","",IF(OR($J34="Litre",$J34="Tonne"),_xlfn.XLOOKUP(F34&amp;U34&amp;T34,Conversions!$E$20:$E$104,Conversions!$F$20:$F$104),INDEX(Conversions!$C$4:$I$10,MATCH('V1 - Fuels (Stationary)'!$T34,Conversions!$B$4:$B$10,0),MATCH('V1 - Fuels (Stationary)'!$U34,Conversions!$C$3:$I$3,0))))</f>
        <v/>
      </c>
      <c r="W34" s="310" t="str">
        <f>IF(J34="","",_xlfn.XLOOKUP(H34,'Emission Factors'!$M$432:$M$787,'Emission Factors'!$S$432:$S$787)*V34)</f>
        <v/>
      </c>
      <c r="X34" s="311" t="str">
        <f t="shared" si="8"/>
        <v/>
      </c>
      <c r="Y34" s="110" t="str">
        <f>IF(ISBLANK(I34)=TRUE,"",IF(ISBLANK(W34)=TRUE,"",I34*W34)/1000)</f>
        <v/>
      </c>
      <c r="Z34" s="306" t="str">
        <f>IF(J34="","",_xlfn.XLOOKUP(H34,'Emission Factors'!$M$432:$M$787,'Emission Factors'!$W$432:$W$787))</f>
        <v/>
      </c>
      <c r="AA34" s="67"/>
      <c r="AB34" s="67"/>
      <c r="AC34" s="67"/>
      <c r="AD34" s="151"/>
    </row>
    <row r="35" spans="2:30">
      <c r="B35" s="166"/>
      <c r="C35" s="173"/>
      <c r="D35" s="103"/>
      <c r="E35" s="114"/>
      <c r="F35" s="103"/>
      <c r="G35" s="103"/>
      <c r="H35" s="105" t="str">
        <f t="shared" si="9"/>
        <v/>
      </c>
      <c r="I35" s="113"/>
      <c r="J35" s="103"/>
      <c r="K35" s="97" t="str">
        <f t="shared" si="5"/>
        <v/>
      </c>
      <c r="L35" s="303" t="str">
        <f>IF(J35="","",_xlfn.XLOOKUP(H35,'Emission Factors'!$M$18:$M$65,'Emission Factors'!$U$18:$U$65))</f>
        <v/>
      </c>
      <c r="M35" s="304" t="str">
        <f>IF($J35="","",IF(OR($J35="Litre",$J35="Tonne"),_xlfn.XLOOKUP(F35&amp;L35&amp;K35,Conversions!$E$20:$E$104,Conversions!$F$20:$F$104),INDEX(Conversions!$C$4:$I$10,MATCH('V1 - Fuels (Stationary)'!$K35,Conversions!$B$4:$B$10,0),MATCH('V1 - Fuels (Stationary)'!$L35,Conversions!$C$3:$I$3,0))))</f>
        <v/>
      </c>
      <c r="N35" s="304" t="str">
        <f>IF(J35="","",_xlfn.XLOOKUP(H35,'Emission Factors'!$M$18:$M$65,'Emission Factors'!$T$18:$T$65)*M35)</f>
        <v/>
      </c>
      <c r="O35" s="305" t="str">
        <f t="shared" si="10"/>
        <v/>
      </c>
      <c r="P35" s="107" t="str">
        <f t="shared" si="4"/>
        <v/>
      </c>
      <c r="Q35" s="306" t="str">
        <f>IF(J35="","",_xlfn.XLOOKUP(H35,'Emission Factors'!$M:$M,'Emission Factors'!$W:$W))</f>
        <v/>
      </c>
      <c r="R35" s="111"/>
      <c r="S35" s="67"/>
      <c r="T35" s="306" t="str">
        <f t="shared" si="7"/>
        <v/>
      </c>
      <c r="U35" s="306" t="str">
        <f>IF(J35="","",_xlfn.XLOOKUP(H35,'Emission Factors'!$M$432:$M$787,'Emission Factors'!$U$432:$U$787))</f>
        <v/>
      </c>
      <c r="V35" s="310" t="str">
        <f>IF($J35="","",IF(OR($J35="Litre",$J35="Tonne"),_xlfn.XLOOKUP(F35&amp;U35&amp;T35,Conversions!$E$20:$E$104,Conversions!$F$20:$F$104),INDEX(Conversions!$C$4:$I$10,MATCH('V1 - Fuels (Stationary)'!$T35,Conversions!$B$4:$B$10,0),MATCH('V1 - Fuels (Stationary)'!$U35,Conversions!$C$3:$I$3,0))))</f>
        <v/>
      </c>
      <c r="W35" s="310" t="str">
        <f>IF(J35="","",_xlfn.XLOOKUP(H35,'Emission Factors'!$M$432:$M$787,'Emission Factors'!$S$432:$S$787)*V35)</f>
        <v/>
      </c>
      <c r="X35" s="311" t="str">
        <f t="shared" si="8"/>
        <v/>
      </c>
      <c r="Y35" s="110" t="str">
        <f t="shared" ref="Y35:Y60" si="11">IF(ISBLANK(I35)=TRUE,"",IF(ISBLANK(W35)=TRUE,"",I35*W35)/1000)</f>
        <v/>
      </c>
      <c r="Z35" s="306" t="str">
        <f>IF(J35="","",_xlfn.XLOOKUP(H35,'Emission Factors'!$M$432:$M$787,'Emission Factors'!$W$432:$W$787))</f>
        <v/>
      </c>
      <c r="AA35" s="67"/>
      <c r="AB35" s="67"/>
      <c r="AC35" s="67"/>
      <c r="AD35" s="151"/>
    </row>
    <row r="36" spans="2:30">
      <c r="B36" s="166"/>
      <c r="C36" s="173"/>
      <c r="D36" s="103"/>
      <c r="E36" s="111"/>
      <c r="F36" s="103"/>
      <c r="G36" s="103"/>
      <c r="H36" s="105" t="str">
        <f t="shared" si="9"/>
        <v/>
      </c>
      <c r="I36" s="113"/>
      <c r="J36" s="103"/>
      <c r="K36" s="97" t="str">
        <f t="shared" ref="K36:K41" si="12">IF(J36="","",J36)</f>
        <v/>
      </c>
      <c r="L36" s="303" t="str">
        <f>IF(J36="","",_xlfn.XLOOKUP(H36,'Emission Factors'!$M$18:$M$65,'Emission Factors'!$U$18:$U$65))</f>
        <v/>
      </c>
      <c r="M36" s="304" t="str">
        <f>IF($J36="","",IF(OR($J36="Litre",$J36="Tonne"),_xlfn.XLOOKUP(F36&amp;L36&amp;K36,Conversions!$E$20:$E$104,Conversions!$F$20:$F$104),INDEX(Conversions!$C$4:$I$10,MATCH('V1 - Fuels (Stationary)'!$K36,Conversions!$B$4:$B$10,0),MATCH('V1 - Fuels (Stationary)'!$L36,Conversions!$C$3:$I$3,0))))</f>
        <v/>
      </c>
      <c r="N36" s="304" t="str">
        <f>IF(J36="","",_xlfn.XLOOKUP(H36,'Emission Factors'!$M$18:$M$65,'Emission Factors'!$T$18:$T$65)*M36)</f>
        <v/>
      </c>
      <c r="O36" s="305" t="str">
        <f t="shared" ref="O36:O41" si="13">IF(J36="","","kgCO2e/"&amp;K36)</f>
        <v/>
      </c>
      <c r="P36" s="107" t="str">
        <f t="shared" si="4"/>
        <v/>
      </c>
      <c r="Q36" s="306" t="str">
        <f>IF(J36="","",_xlfn.XLOOKUP(H36,'Emission Factors'!$M:$M,'Emission Factors'!$W:$W))</f>
        <v/>
      </c>
      <c r="R36" s="111"/>
      <c r="S36" s="67"/>
      <c r="T36" s="306" t="str">
        <f t="shared" si="7"/>
        <v/>
      </c>
      <c r="U36" s="306" t="str">
        <f>IF(J36="","",_xlfn.XLOOKUP(H36,'Emission Factors'!$M$432:$M$787,'Emission Factors'!$U$432:$U$787))</f>
        <v/>
      </c>
      <c r="V36" s="310" t="str">
        <f>IF($J36="","",IF(OR($J36="Litre",$J36="Tonne"),_xlfn.XLOOKUP(F36&amp;U36&amp;T36,Conversions!$E$20:$E$104,Conversions!$F$20:$F$104),INDEX(Conversions!$C$4:$I$10,MATCH('V1 - Fuels (Stationary)'!$T36,Conversions!$B$4:$B$10,0),MATCH('V1 - Fuels (Stationary)'!$U36,Conversions!$C$3:$I$3,0))))</f>
        <v/>
      </c>
      <c r="W36" s="310" t="str">
        <f>IF(J36="","",_xlfn.XLOOKUP(H36,'Emission Factors'!$M$432:$M$787,'Emission Factors'!$S$432:$S$787)*V36)</f>
        <v/>
      </c>
      <c r="X36" s="311" t="str">
        <f t="shared" si="8"/>
        <v/>
      </c>
      <c r="Y36" s="110" t="str">
        <f t="shared" si="11"/>
        <v/>
      </c>
      <c r="Z36" s="306" t="str">
        <f>IF(J36="","",_xlfn.XLOOKUP(H36,'Emission Factors'!$M$432:$M$787,'Emission Factors'!$W$432:$W$787))</f>
        <v/>
      </c>
      <c r="AA36" s="67"/>
      <c r="AB36" s="67"/>
      <c r="AC36" s="67"/>
      <c r="AD36" s="151"/>
    </row>
    <row r="37" spans="2:30">
      <c r="B37" s="166"/>
      <c r="C37" s="173"/>
      <c r="D37" s="103"/>
      <c r="E37" s="111"/>
      <c r="F37" s="103"/>
      <c r="G37" s="103"/>
      <c r="H37" s="105" t="str">
        <f t="shared" si="9"/>
        <v/>
      </c>
      <c r="I37" s="113"/>
      <c r="J37" s="103"/>
      <c r="K37" s="97" t="str">
        <f t="shared" si="12"/>
        <v/>
      </c>
      <c r="L37" s="303" t="str">
        <f>IF(J37="","",_xlfn.XLOOKUP(H37,'Emission Factors'!$M$18:$M$65,'Emission Factors'!$U$18:$U$65))</f>
        <v/>
      </c>
      <c r="M37" s="304" t="str">
        <f>IF($J37="","",IF(OR($J37="Litre",$J37="Tonne"),_xlfn.XLOOKUP(F37&amp;L37&amp;K37,Conversions!$E$20:$E$104,Conversions!$F$20:$F$104),INDEX(Conversions!$C$4:$I$10,MATCH('V1 - Fuels (Stationary)'!$K37,Conversions!$B$4:$B$10,0),MATCH('V1 - Fuels (Stationary)'!$L37,Conversions!$C$3:$I$3,0))))</f>
        <v/>
      </c>
      <c r="N37" s="304" t="str">
        <f>IF(J37="","",_xlfn.XLOOKUP(H37,'Emission Factors'!$M$18:$M$65,'Emission Factors'!$T$18:$T$65)*M37)</f>
        <v/>
      </c>
      <c r="O37" s="305" t="str">
        <f t="shared" si="13"/>
        <v/>
      </c>
      <c r="P37" s="107" t="str">
        <f t="shared" si="4"/>
        <v/>
      </c>
      <c r="Q37" s="306" t="str">
        <f>IF(J37="","",_xlfn.XLOOKUP(H37,'Emission Factors'!$M:$M,'Emission Factors'!$W:$W))</f>
        <v/>
      </c>
      <c r="R37" s="111"/>
      <c r="S37" s="67"/>
      <c r="T37" s="306" t="str">
        <f t="shared" si="7"/>
        <v/>
      </c>
      <c r="U37" s="306" t="str">
        <f>IF(J37="","",_xlfn.XLOOKUP(H37,'Emission Factors'!$M$432:$M$787,'Emission Factors'!$U$432:$U$787))</f>
        <v/>
      </c>
      <c r="V37" s="310" t="str">
        <f>IF($J37="","",IF(OR($J37="Litre",$J37="Tonne"),_xlfn.XLOOKUP(F37&amp;U37&amp;T37,Conversions!$E$20:$E$104,Conversions!$F$20:$F$104),INDEX(Conversions!$C$4:$I$10,MATCH('V1 - Fuels (Stationary)'!$T37,Conversions!$B$4:$B$10,0),MATCH('V1 - Fuels (Stationary)'!$U37,Conversions!$C$3:$I$3,0))))</f>
        <v/>
      </c>
      <c r="W37" s="310" t="str">
        <f>IF(J37="","",_xlfn.XLOOKUP(H37,'Emission Factors'!$M$432:$M$787,'Emission Factors'!$S$432:$S$787)*V37)</f>
        <v/>
      </c>
      <c r="X37" s="311" t="str">
        <f t="shared" si="8"/>
        <v/>
      </c>
      <c r="Y37" s="110" t="str">
        <f t="shared" si="11"/>
        <v/>
      </c>
      <c r="Z37" s="306" t="str">
        <f>IF(J37="","",_xlfn.XLOOKUP(H37,'Emission Factors'!$M$432:$M$787,'Emission Factors'!$W$432:$W$787))</f>
        <v/>
      </c>
      <c r="AA37" s="67"/>
      <c r="AB37" s="67"/>
      <c r="AC37" s="67"/>
      <c r="AD37" s="151"/>
    </row>
    <row r="38" spans="2:30">
      <c r="B38" s="166"/>
      <c r="C38" s="173"/>
      <c r="D38" s="103"/>
      <c r="E38" s="111"/>
      <c r="F38" s="103"/>
      <c r="G38" s="103"/>
      <c r="H38" s="105" t="str">
        <f t="shared" si="9"/>
        <v/>
      </c>
      <c r="I38" s="113"/>
      <c r="J38" s="103"/>
      <c r="K38" s="97" t="str">
        <f t="shared" si="12"/>
        <v/>
      </c>
      <c r="L38" s="303" t="str">
        <f>IF(J38="","",_xlfn.XLOOKUP(H38,'Emission Factors'!$M$18:$M$65,'Emission Factors'!$U$18:$U$65))</f>
        <v/>
      </c>
      <c r="M38" s="304" t="str">
        <f>IF($J38="","",IF(OR($J38="Litre",$J38="Tonne"),_xlfn.XLOOKUP(F38&amp;L38&amp;K38,Conversions!$E$20:$E$104,Conversions!$F$20:$F$104),INDEX(Conversions!$C$4:$I$10,MATCH('V1 - Fuels (Stationary)'!$K38,Conversions!$B$4:$B$10,0),MATCH('V1 - Fuels (Stationary)'!$L38,Conversions!$C$3:$I$3,0))))</f>
        <v/>
      </c>
      <c r="N38" s="304" t="str">
        <f>IF(J38="","",_xlfn.XLOOKUP(H38,'Emission Factors'!$M$18:$M$65,'Emission Factors'!$T$18:$T$65)*M38)</f>
        <v/>
      </c>
      <c r="O38" s="305" t="str">
        <f t="shared" si="13"/>
        <v/>
      </c>
      <c r="P38" s="107" t="str">
        <f t="shared" si="4"/>
        <v/>
      </c>
      <c r="Q38" s="306" t="str">
        <f>IF(J38="","",_xlfn.XLOOKUP(H38,'Emission Factors'!$M:$M,'Emission Factors'!$W:$W))</f>
        <v/>
      </c>
      <c r="R38" s="111"/>
      <c r="S38" s="67"/>
      <c r="T38" s="306" t="str">
        <f t="shared" si="7"/>
        <v/>
      </c>
      <c r="U38" s="306" t="str">
        <f>IF(J38="","",_xlfn.XLOOKUP(H38,'Emission Factors'!$M$432:$M$787,'Emission Factors'!$U$432:$U$787))</f>
        <v/>
      </c>
      <c r="V38" s="310" t="str">
        <f>IF($J38="","",IF(OR($J38="Litre",$J38="Tonne"),_xlfn.XLOOKUP(F38&amp;U38&amp;T38,Conversions!$E$20:$E$104,Conversions!$F$20:$F$104),INDEX(Conversions!$C$4:$I$10,MATCH('V1 - Fuels (Stationary)'!$T38,Conversions!$B$4:$B$10,0),MATCH('V1 - Fuels (Stationary)'!$U38,Conversions!$C$3:$I$3,0))))</f>
        <v/>
      </c>
      <c r="W38" s="310" t="str">
        <f>IF(J38="","",_xlfn.XLOOKUP(H38,'Emission Factors'!$M$432:$M$787,'Emission Factors'!$S$432:$S$787)*V38)</f>
        <v/>
      </c>
      <c r="X38" s="311" t="str">
        <f>IF(J38="","","kgCO2e/"&amp;T38)</f>
        <v/>
      </c>
      <c r="Y38" s="110" t="str">
        <f t="shared" si="11"/>
        <v/>
      </c>
      <c r="Z38" s="306" t="str">
        <f>IF(J38="","",_xlfn.XLOOKUP(H38,'Emission Factors'!$M$432:$M$787,'Emission Factors'!$W$432:$W$787))</f>
        <v/>
      </c>
      <c r="AA38" s="67"/>
      <c r="AB38" s="67"/>
      <c r="AC38" s="67"/>
      <c r="AD38" s="151"/>
    </row>
    <row r="39" spans="2:30">
      <c r="B39" s="166"/>
      <c r="C39" s="173"/>
      <c r="D39" s="103"/>
      <c r="E39" s="111"/>
      <c r="F39" s="103"/>
      <c r="G39" s="103"/>
      <c r="H39" s="105" t="str">
        <f t="shared" si="9"/>
        <v/>
      </c>
      <c r="I39" s="113"/>
      <c r="J39" s="103"/>
      <c r="K39" s="97" t="str">
        <f>IF(J39="","",J39)</f>
        <v/>
      </c>
      <c r="L39" s="303" t="str">
        <f>IF(J39="","",_xlfn.XLOOKUP(H39,'Emission Factors'!$M$18:$M$65,'Emission Factors'!$U$18:$U$65))</f>
        <v/>
      </c>
      <c r="M39" s="304" t="str">
        <f>IF($J39="","",IF(OR($J39="Litre",$J39="Tonne"),_xlfn.XLOOKUP(F39&amp;L39&amp;K39,Conversions!$E$20:$E$104,Conversions!$F$20:$F$104),INDEX(Conversions!$C$4:$I$10,MATCH('V1 - Fuels (Stationary)'!$K39,Conversions!$B$4:$B$10,0),MATCH('V1 - Fuels (Stationary)'!$L39,Conversions!$C$3:$I$3,0))))</f>
        <v/>
      </c>
      <c r="N39" s="304" t="str">
        <f>IF(J39="","",_xlfn.XLOOKUP(H39,'Emission Factors'!$M$18:$M$65,'Emission Factors'!$T$18:$T$65)*M39)</f>
        <v/>
      </c>
      <c r="O39" s="305" t="str">
        <f>IF(J39="","","kgCO2e/"&amp;K39)</f>
        <v/>
      </c>
      <c r="P39" s="107" t="str">
        <f t="shared" si="4"/>
        <v/>
      </c>
      <c r="Q39" s="306" t="str">
        <f>IF(J39="","",_xlfn.XLOOKUP(H39,'Emission Factors'!$M:$M,'Emission Factors'!$W:$W))</f>
        <v/>
      </c>
      <c r="R39" s="111"/>
      <c r="S39" s="67"/>
      <c r="T39" s="306" t="str">
        <f t="shared" si="7"/>
        <v/>
      </c>
      <c r="U39" s="306" t="str">
        <f>IF(J39="","",_xlfn.XLOOKUP(H39,'Emission Factors'!$M$432:$M$787,'Emission Factors'!$U$432:$U$787))</f>
        <v/>
      </c>
      <c r="V39" s="310" t="str">
        <f>IF($J39="","",IF(OR($J39="Litre",$J39="Tonne"),_xlfn.XLOOKUP(F39&amp;U39&amp;T39,Conversions!$E$20:$E$104,Conversions!$F$20:$F$104),INDEX(Conversions!$C$4:$I$10,MATCH('V1 - Fuels (Stationary)'!$T39,Conversions!$B$4:$B$10,0),MATCH('V1 - Fuels (Stationary)'!$U39,Conversions!$C$3:$I$3,0))))</f>
        <v/>
      </c>
      <c r="W39" s="310" t="str">
        <f>IF(J39="","",_xlfn.XLOOKUP(H39,'Emission Factors'!$M$432:$M$787,'Emission Factors'!$S$432:$S$787)*V39)</f>
        <v/>
      </c>
      <c r="X39" s="311" t="str">
        <f>IF(J39="","","kgCO2e/"&amp;T39)</f>
        <v/>
      </c>
      <c r="Y39" s="110" t="str">
        <f t="shared" si="11"/>
        <v/>
      </c>
      <c r="Z39" s="306" t="str">
        <f>IF(J39="","",_xlfn.XLOOKUP(H39,'Emission Factors'!$M$432:$M$787,'Emission Factors'!$W$432:$W$787))</f>
        <v/>
      </c>
      <c r="AA39" s="67"/>
      <c r="AB39" s="67"/>
      <c r="AC39" s="67"/>
      <c r="AD39" s="151"/>
    </row>
    <row r="40" spans="2:30">
      <c r="B40" s="166"/>
      <c r="C40" s="173"/>
      <c r="D40" s="103"/>
      <c r="E40" s="111"/>
      <c r="F40" s="103"/>
      <c r="G40" s="103"/>
      <c r="H40" s="105" t="str">
        <f t="shared" si="9"/>
        <v/>
      </c>
      <c r="I40" s="113"/>
      <c r="J40" s="103"/>
      <c r="K40" s="97" t="str">
        <f>IF(J40="","",J40)</f>
        <v/>
      </c>
      <c r="L40" s="303" t="str">
        <f>IF(J40="","",_xlfn.XLOOKUP(H40,'Emission Factors'!$M$18:$M$65,'Emission Factors'!$U$18:$U$65))</f>
        <v/>
      </c>
      <c r="M40" s="304" t="str">
        <f>IF($J40="","",IF(OR($J40="Litre",$J40="Tonne"),_xlfn.XLOOKUP(F40&amp;L40&amp;K40,Conversions!$E$20:$E$104,Conversions!$F$20:$F$104),INDEX(Conversions!$C$4:$I$10,MATCH('V1 - Fuels (Stationary)'!$K40,Conversions!$B$4:$B$10,0),MATCH('V1 - Fuels (Stationary)'!$L40,Conversions!$C$3:$I$3,0))))</f>
        <v/>
      </c>
      <c r="N40" s="304" t="str">
        <f>IF(J40="","",_xlfn.XLOOKUP(H40,'Emission Factors'!$M$18:$M$65,'Emission Factors'!$T$18:$T$65)*M40)</f>
        <v/>
      </c>
      <c r="O40" s="305" t="str">
        <f>IF(J40="","","kgCO2e/"&amp;K40)</f>
        <v/>
      </c>
      <c r="P40" s="107" t="str">
        <f t="shared" si="4"/>
        <v/>
      </c>
      <c r="Q40" s="306" t="str">
        <f>IF(J40="","",_xlfn.XLOOKUP(H40,'Emission Factors'!$M:$M,'Emission Factors'!$W:$W))</f>
        <v/>
      </c>
      <c r="R40" s="111"/>
      <c r="S40" s="67"/>
      <c r="T40" s="306" t="str">
        <f t="shared" si="7"/>
        <v/>
      </c>
      <c r="U40" s="306" t="str">
        <f>IF(J40="","",_xlfn.XLOOKUP(H40,'Emission Factors'!$M$432:$M$787,'Emission Factors'!$U$432:$U$787))</f>
        <v/>
      </c>
      <c r="V40" s="310" t="str">
        <f>IF($J40="","",IF(OR($J40="Litre",$J40="Tonne"),_xlfn.XLOOKUP(F40&amp;U40&amp;T40,Conversions!$E$20:$E$104,Conversions!$F$20:$F$104),INDEX(Conversions!$C$4:$I$10,MATCH('V1 - Fuels (Stationary)'!$T40,Conversions!$B$4:$B$10,0),MATCH('V1 - Fuels (Stationary)'!$U40,Conversions!$C$3:$I$3,0))))</f>
        <v/>
      </c>
      <c r="W40" s="310" t="str">
        <f>IF(J40="","",_xlfn.XLOOKUP(H40,'Emission Factors'!$M$432:$M$787,'Emission Factors'!$S$432:$S$787)*V40)</f>
        <v/>
      </c>
      <c r="X40" s="311" t="str">
        <f>IF(J40="","","kgCO2e/"&amp;T40)</f>
        <v/>
      </c>
      <c r="Y40" s="110" t="str">
        <f t="shared" si="11"/>
        <v/>
      </c>
      <c r="Z40" s="306" t="str">
        <f>IF(J40="","",_xlfn.XLOOKUP(H40,'Emission Factors'!$M$432:$M$787,'Emission Factors'!$W$432:$W$787))</f>
        <v/>
      </c>
      <c r="AA40" s="67"/>
      <c r="AB40" s="67"/>
      <c r="AC40" s="67"/>
      <c r="AD40" s="151"/>
    </row>
    <row r="41" spans="2:30">
      <c r="B41" s="166"/>
      <c r="C41" s="173"/>
      <c r="D41" s="103"/>
      <c r="E41" s="111"/>
      <c r="F41" s="103"/>
      <c r="G41" s="103"/>
      <c r="H41" s="105" t="str">
        <f>F41&amp;G41</f>
        <v/>
      </c>
      <c r="I41" s="113"/>
      <c r="J41" s="103"/>
      <c r="K41" s="97" t="str">
        <f t="shared" si="12"/>
        <v/>
      </c>
      <c r="L41" s="303" t="str">
        <f>IF(J41="","",_xlfn.XLOOKUP(H41,'Emission Factors'!$M$18:$M$65,'Emission Factors'!$U$18:$U$65))</f>
        <v/>
      </c>
      <c r="M41" s="304" t="str">
        <f>IF($J41="","",IF(OR($J41="Litre",$J41="Tonne"),_xlfn.XLOOKUP(F41&amp;L41&amp;K41,Conversions!$E$20:$E$104,Conversions!$F$20:$F$104),INDEX(Conversions!$C$4:$I$10,MATCH('V1 - Fuels (Stationary)'!$K41,Conversions!$B$4:$B$10,0),MATCH('V1 - Fuels (Stationary)'!$L41,Conversions!$C$3:$I$3,0))))</f>
        <v/>
      </c>
      <c r="N41" s="304" t="str">
        <f>IF(J41="","",_xlfn.XLOOKUP(H41,'Emission Factors'!$M$18:$M$65,'Emission Factors'!$T$18:$T$65)*M41)</f>
        <v/>
      </c>
      <c r="O41" s="305" t="str">
        <f t="shared" si="13"/>
        <v/>
      </c>
      <c r="P41" s="107" t="str">
        <f t="shared" si="4"/>
        <v/>
      </c>
      <c r="Q41" s="306" t="str">
        <f>IF(J41="","",_xlfn.XLOOKUP(H41,'Emission Factors'!$M:$M,'Emission Factors'!$W:$W))</f>
        <v/>
      </c>
      <c r="R41" s="111"/>
      <c r="S41" s="67"/>
      <c r="T41" s="306" t="str">
        <f t="shared" si="7"/>
        <v/>
      </c>
      <c r="U41" s="306" t="str">
        <f>IF(J41="","",_xlfn.XLOOKUP(H41,'Emission Factors'!$M$432:$M$787,'Emission Factors'!$U$432:$U$787))</f>
        <v/>
      </c>
      <c r="V41" s="310" t="str">
        <f>IF($J41="","",IF(OR($J41="Litre",$J41="Tonne"),_xlfn.XLOOKUP(F41&amp;U41&amp;T41,Conversions!$E$20:$E$104,Conversions!$F$20:$F$104),INDEX(Conversions!$C$4:$I$10,MATCH('V1 - Fuels (Stationary)'!$T41,Conversions!$B$4:$B$10,0),MATCH('V1 - Fuels (Stationary)'!$U41,Conversions!$C$3:$I$3,0))))</f>
        <v/>
      </c>
      <c r="W41" s="310" t="str">
        <f>IF(J41="","",_xlfn.XLOOKUP(H41,'Emission Factors'!$M$432:$M$787,'Emission Factors'!$S$432:$S$787)*V41)</f>
        <v/>
      </c>
      <c r="X41" s="311" t="str">
        <f>IF(J41="","","kgCO2e/"&amp;T41)</f>
        <v/>
      </c>
      <c r="Y41" s="110" t="str">
        <f t="shared" si="11"/>
        <v/>
      </c>
      <c r="Z41" s="306" t="str">
        <f>IF(J41="","",_xlfn.XLOOKUP(H41,'Emission Factors'!$M$432:$M$787,'Emission Factors'!$W$432:$W$787))</f>
        <v/>
      </c>
      <c r="AA41" s="67"/>
      <c r="AB41" s="67"/>
      <c r="AC41" s="67"/>
      <c r="AD41" s="151"/>
    </row>
    <row r="42" spans="2:30">
      <c r="B42" s="166"/>
      <c r="C42" s="173"/>
      <c r="D42" s="103"/>
      <c r="E42" s="111"/>
      <c r="F42" s="103"/>
      <c r="G42" s="103"/>
      <c r="H42" s="105" t="str">
        <f>F42&amp;G42</f>
        <v/>
      </c>
      <c r="I42" s="113"/>
      <c r="J42" s="103"/>
      <c r="K42" s="97" t="str">
        <f t="shared" si="5"/>
        <v/>
      </c>
      <c r="L42" s="303" t="str">
        <f>IF(J42="","",_xlfn.XLOOKUP(H42,'Emission Factors'!$M$18:$M$65,'Emission Factors'!$U$18:$U$65))</f>
        <v/>
      </c>
      <c r="M42" s="304" t="str">
        <f>IF($J42="","",IF(OR($J42="Litre",$J42="Tonne"),_xlfn.XLOOKUP(F42&amp;L42&amp;K42,Conversions!$E$20:$E$104,Conversions!$F$20:$F$104),INDEX(Conversions!$C$4:$I$10,MATCH('V1 - Fuels (Stationary)'!$K42,Conversions!$B$4:$B$10,0),MATCH('V1 - Fuels (Stationary)'!$L42,Conversions!$C$3:$I$3,0))))</f>
        <v/>
      </c>
      <c r="N42" s="304" t="str">
        <f>IF(J42="","",_xlfn.XLOOKUP(H42,'Emission Factors'!$M$18:$M$65,'Emission Factors'!$T$18:$T$65)*M42)</f>
        <v/>
      </c>
      <c r="O42" s="305" t="str">
        <f t="shared" si="10"/>
        <v/>
      </c>
      <c r="P42" s="107" t="str">
        <f t="shared" si="4"/>
        <v/>
      </c>
      <c r="Q42" s="306" t="str">
        <f>IF(J42="","",_xlfn.XLOOKUP(H42,'Emission Factors'!$M:$M,'Emission Factors'!$W:$W))</f>
        <v/>
      </c>
      <c r="R42" s="111"/>
      <c r="S42" s="67"/>
      <c r="T42" s="306" t="str">
        <f t="shared" si="7"/>
        <v/>
      </c>
      <c r="U42" s="306" t="str">
        <f>IF(J42="","",_xlfn.XLOOKUP(H42,'Emission Factors'!$M$432:$M$787,'Emission Factors'!$U$432:$U$787))</f>
        <v/>
      </c>
      <c r="V42" s="310" t="str">
        <f>IF($J42="","",IF(OR($J42="Litre",$J42="Tonne"),_xlfn.XLOOKUP(F42&amp;U42&amp;T42,Conversions!$E$20:$E$104,Conversions!$F$20:$F$104),INDEX(Conversions!$C$4:$I$10,MATCH('V1 - Fuels (Stationary)'!$T42,Conversions!$B$4:$B$10,0),MATCH('V1 - Fuels (Stationary)'!$U42,Conversions!$C$3:$I$3,0))))</f>
        <v/>
      </c>
      <c r="W42" s="310" t="str">
        <f>IF(J42="","",_xlfn.XLOOKUP(H42,'Emission Factors'!$M$432:$M$787,'Emission Factors'!$S$432:$S$787)*V42)</f>
        <v/>
      </c>
      <c r="X42" s="311" t="str">
        <f t="shared" si="8"/>
        <v/>
      </c>
      <c r="Y42" s="110" t="str">
        <f t="shared" si="11"/>
        <v/>
      </c>
      <c r="Z42" s="306" t="str">
        <f>IF(J42="","",_xlfn.XLOOKUP(H42,'Emission Factors'!$M$432:$M$787,'Emission Factors'!$W$432:$W$787))</f>
        <v/>
      </c>
      <c r="AA42" s="67"/>
      <c r="AB42" s="67"/>
      <c r="AC42" s="67"/>
      <c r="AD42" s="151"/>
    </row>
    <row r="43" spans="2:30">
      <c r="B43" s="166"/>
      <c r="C43" s="173"/>
      <c r="D43" s="103"/>
      <c r="E43" s="111"/>
      <c r="F43" s="103"/>
      <c r="G43" s="103"/>
      <c r="H43" s="105" t="str">
        <f>F43&amp;G43</f>
        <v/>
      </c>
      <c r="I43" s="113"/>
      <c r="J43" s="103"/>
      <c r="K43" s="97" t="str">
        <f t="shared" si="5"/>
        <v/>
      </c>
      <c r="L43" s="303" t="str">
        <f>IF(J43="","",_xlfn.XLOOKUP(H43,'Emission Factors'!$M$18:$M$65,'Emission Factors'!$U$18:$U$65))</f>
        <v/>
      </c>
      <c r="M43" s="304" t="str">
        <f>IF($J43="","",IF(OR($J43="Litre",$J43="Tonne"),_xlfn.XLOOKUP(F43&amp;L43&amp;K43,Conversions!$E$20:$E$104,Conversions!$F$20:$F$104),INDEX(Conversions!$C$4:$I$10,MATCH('V1 - Fuels (Stationary)'!$K43,Conversions!$B$4:$B$10,0),MATCH('V1 - Fuels (Stationary)'!$L43,Conversions!$C$3:$I$3,0))))</f>
        <v/>
      </c>
      <c r="N43" s="304" t="str">
        <f>IF(J43="","",_xlfn.XLOOKUP(H43,'Emission Factors'!$M$18:$M$65,'Emission Factors'!$T$18:$T$65)*M43)</f>
        <v/>
      </c>
      <c r="O43" s="305" t="str">
        <f t="shared" si="10"/>
        <v/>
      </c>
      <c r="P43" s="107" t="str">
        <f t="shared" si="4"/>
        <v/>
      </c>
      <c r="Q43" s="306" t="str">
        <f>IF(J43="","",_xlfn.XLOOKUP(H43,'Emission Factors'!$M:$M,'Emission Factors'!$W:$W))</f>
        <v/>
      </c>
      <c r="R43" s="111"/>
      <c r="S43" s="67"/>
      <c r="T43" s="306" t="str">
        <f t="shared" si="7"/>
        <v/>
      </c>
      <c r="U43" s="306" t="str">
        <f>IF(J43="","",_xlfn.XLOOKUP(H43,'Emission Factors'!$M$432:$M$787,'Emission Factors'!$U$432:$U$787))</f>
        <v/>
      </c>
      <c r="V43" s="310" t="str">
        <f>IF($J43="","",IF(OR($J43="Litre",$J43="Tonne"),_xlfn.XLOOKUP(F43&amp;U43&amp;T43,Conversions!$E$20:$E$104,Conversions!$F$20:$F$104),INDEX(Conversions!$C$4:$I$10,MATCH('V1 - Fuels (Stationary)'!$T43,Conversions!$B$4:$B$10,0),MATCH('V1 - Fuels (Stationary)'!$U43,Conversions!$C$3:$I$3,0))))</f>
        <v/>
      </c>
      <c r="W43" s="310" t="str">
        <f>IF(J43="","",_xlfn.XLOOKUP(H43,'Emission Factors'!$M$432:$M$787,'Emission Factors'!$S$432:$S$787)*V43)</f>
        <v/>
      </c>
      <c r="X43" s="311" t="str">
        <f t="shared" si="8"/>
        <v/>
      </c>
      <c r="Y43" s="110" t="str">
        <f t="shared" si="11"/>
        <v/>
      </c>
      <c r="Z43" s="306" t="str">
        <f>IF(J43="","",_xlfn.XLOOKUP(H43,'Emission Factors'!$M$432:$M$787,'Emission Factors'!$W$432:$W$787))</f>
        <v/>
      </c>
      <c r="AA43" s="67"/>
      <c r="AB43" s="67"/>
      <c r="AC43" s="67"/>
      <c r="AD43" s="151"/>
    </row>
    <row r="44" spans="2:30">
      <c r="B44" s="166"/>
      <c r="C44" s="173"/>
      <c r="D44" s="103"/>
      <c r="E44" s="111"/>
      <c r="F44" s="103"/>
      <c r="G44" s="103"/>
      <c r="H44" s="105" t="str">
        <f t="shared" ref="H44:H60" si="14">F44&amp;G44</f>
        <v/>
      </c>
      <c r="I44" s="113"/>
      <c r="J44" s="103"/>
      <c r="K44" s="97" t="str">
        <f t="shared" si="5"/>
        <v/>
      </c>
      <c r="L44" s="303" t="str">
        <f>IF(J44="","",_xlfn.XLOOKUP(H44,'Emission Factors'!$M$18:$M$65,'Emission Factors'!$U$18:$U$65))</f>
        <v/>
      </c>
      <c r="M44" s="304" t="str">
        <f>IF($J44="","",IF(OR($J44="Litre",$J44="Tonne"),_xlfn.XLOOKUP(F44&amp;L44&amp;K44,Conversions!$E$20:$E$104,Conversions!$F$20:$F$104),INDEX(Conversions!$C$4:$I$10,MATCH('V1 - Fuels (Stationary)'!$K44,Conversions!$B$4:$B$10,0),MATCH('V1 - Fuels (Stationary)'!$L44,Conversions!$C$3:$I$3,0))))</f>
        <v/>
      </c>
      <c r="N44" s="304" t="str">
        <f>IF(J44="","",_xlfn.XLOOKUP(H44,'Emission Factors'!$M$18:$M$65,'Emission Factors'!$T$18:$T$65)*M44)</f>
        <v/>
      </c>
      <c r="O44" s="305" t="str">
        <f t="shared" si="10"/>
        <v/>
      </c>
      <c r="P44" s="107" t="str">
        <f t="shared" si="4"/>
        <v/>
      </c>
      <c r="Q44" s="306" t="str">
        <f>IF(J44="","",_xlfn.XLOOKUP(H44,'Emission Factors'!$M:$M,'Emission Factors'!$W:$W))</f>
        <v/>
      </c>
      <c r="R44" s="111"/>
      <c r="S44" s="67"/>
      <c r="T44" s="306" t="str">
        <f t="shared" si="7"/>
        <v/>
      </c>
      <c r="U44" s="306" t="str">
        <f>IF(J44="","",_xlfn.XLOOKUP(H44,'Emission Factors'!$M$432:$M$787,'Emission Factors'!$U$432:$U$787))</f>
        <v/>
      </c>
      <c r="V44" s="310" t="str">
        <f>IF($J44="","",IF(OR($J44="Litre",$J44="Tonne"),_xlfn.XLOOKUP(F44&amp;U44&amp;T44,Conversions!$E$20:$E$104,Conversions!$F$20:$F$104),INDEX(Conversions!$C$4:$I$10,MATCH('V1 - Fuels (Stationary)'!$T44,Conversions!$B$4:$B$10,0),MATCH('V1 - Fuels (Stationary)'!$U44,Conversions!$C$3:$I$3,0))))</f>
        <v/>
      </c>
      <c r="W44" s="310" t="str">
        <f>IF(J44="","",_xlfn.XLOOKUP(H44,'Emission Factors'!$M$432:$M$787,'Emission Factors'!$S$432:$S$787)*V44)</f>
        <v/>
      </c>
      <c r="X44" s="311" t="str">
        <f t="shared" si="8"/>
        <v/>
      </c>
      <c r="Y44" s="110" t="str">
        <f t="shared" si="11"/>
        <v/>
      </c>
      <c r="Z44" s="306" t="str">
        <f>IF(J44="","",_xlfn.XLOOKUP(H44,'Emission Factors'!$M$432:$M$787,'Emission Factors'!$W$432:$W$787))</f>
        <v/>
      </c>
      <c r="AA44" s="67"/>
      <c r="AB44" s="67"/>
      <c r="AC44" s="67"/>
      <c r="AD44" s="151"/>
    </row>
    <row r="45" spans="2:30">
      <c r="B45" s="166"/>
      <c r="C45" s="173"/>
      <c r="D45" s="103"/>
      <c r="E45" s="111"/>
      <c r="F45" s="103"/>
      <c r="G45" s="103"/>
      <c r="H45" s="105" t="str">
        <f t="shared" si="14"/>
        <v/>
      </c>
      <c r="I45" s="113"/>
      <c r="J45" s="103"/>
      <c r="K45" s="97" t="str">
        <f t="shared" si="5"/>
        <v/>
      </c>
      <c r="L45" s="303" t="str">
        <f>IF(J45="","",_xlfn.XLOOKUP(H45,'Emission Factors'!$M$18:$M$65,'Emission Factors'!$U$18:$U$65))</f>
        <v/>
      </c>
      <c r="M45" s="304" t="str">
        <f>IF($J45="","",IF(OR($J45="Litre",$J45="Tonne"),_xlfn.XLOOKUP(F45&amp;L45&amp;K45,Conversions!$E$20:$E$104,Conversions!$F$20:$F$104),INDEX(Conversions!$C$4:$I$10,MATCH('V1 - Fuels (Stationary)'!$K45,Conversions!$B$4:$B$10,0),MATCH('V1 - Fuels (Stationary)'!$L45,Conversions!$C$3:$I$3,0))))</f>
        <v/>
      </c>
      <c r="N45" s="304" t="str">
        <f>IF(J45="","",_xlfn.XLOOKUP(H45,'Emission Factors'!$M$18:$M$65,'Emission Factors'!$T$18:$T$65)*M45)</f>
        <v/>
      </c>
      <c r="O45" s="305" t="str">
        <f t="shared" si="10"/>
        <v/>
      </c>
      <c r="P45" s="107" t="str">
        <f t="shared" si="4"/>
        <v/>
      </c>
      <c r="Q45" s="306" t="str">
        <f>IF(J45="","",_xlfn.XLOOKUP(H45,'Emission Factors'!$M:$M,'Emission Factors'!$W:$W))</f>
        <v/>
      </c>
      <c r="R45" s="111"/>
      <c r="S45" s="67"/>
      <c r="T45" s="306" t="str">
        <f t="shared" si="7"/>
        <v/>
      </c>
      <c r="U45" s="306" t="str">
        <f>IF(J45="","",_xlfn.XLOOKUP(H45,'Emission Factors'!$M$432:$M$787,'Emission Factors'!$U$432:$U$787))</f>
        <v/>
      </c>
      <c r="V45" s="310" t="str">
        <f>IF($J45="","",IF(OR($J45="Litre",$J45="Tonne"),_xlfn.XLOOKUP(F45&amp;U45&amp;T45,Conversions!$E$20:$E$104,Conversions!$F$20:$F$104),INDEX(Conversions!$C$4:$I$10,MATCH('V1 - Fuels (Stationary)'!$T45,Conversions!$B$4:$B$10,0),MATCH('V1 - Fuels (Stationary)'!$U45,Conversions!$C$3:$I$3,0))))</f>
        <v/>
      </c>
      <c r="W45" s="310" t="str">
        <f>IF(J45="","",_xlfn.XLOOKUP(H45,'Emission Factors'!$M$432:$M$787,'Emission Factors'!$S$432:$S$787)*V45)</f>
        <v/>
      </c>
      <c r="X45" s="311" t="str">
        <f t="shared" si="8"/>
        <v/>
      </c>
      <c r="Y45" s="110" t="str">
        <f t="shared" si="11"/>
        <v/>
      </c>
      <c r="Z45" s="306" t="str">
        <f>IF(J45="","",_xlfn.XLOOKUP(H45,'Emission Factors'!$M$432:$M$787,'Emission Factors'!$W$432:$W$787))</f>
        <v/>
      </c>
      <c r="AA45" s="67"/>
      <c r="AB45" s="67"/>
      <c r="AC45" s="67"/>
      <c r="AD45" s="151"/>
    </row>
    <row r="46" spans="2:30">
      <c r="B46" s="166"/>
      <c r="C46" s="173"/>
      <c r="D46" s="103"/>
      <c r="E46" s="111"/>
      <c r="F46" s="103"/>
      <c r="G46" s="103"/>
      <c r="H46" s="105" t="str">
        <f>F46&amp;G46</f>
        <v/>
      </c>
      <c r="I46" s="113"/>
      <c r="J46" s="103"/>
      <c r="K46" s="97" t="str">
        <f t="shared" si="5"/>
        <v/>
      </c>
      <c r="L46" s="303" t="str">
        <f>IF(J46="","",_xlfn.XLOOKUP(H46,'Emission Factors'!$M$18:$M$65,'Emission Factors'!$U$18:$U$65))</f>
        <v/>
      </c>
      <c r="M46" s="304" t="str">
        <f>IF($J46="","",IF(OR($J46="Litre",$J46="Tonne"),_xlfn.XLOOKUP(F46&amp;L46&amp;K46,Conversions!$E$20:$E$104,Conversions!$F$20:$F$104),INDEX(Conversions!$C$4:$I$10,MATCH('V1 - Fuels (Stationary)'!$K46,Conversions!$B$4:$B$10,0),MATCH('V1 - Fuels (Stationary)'!$L46,Conversions!$C$3:$I$3,0))))</f>
        <v/>
      </c>
      <c r="N46" s="304" t="str">
        <f>IF(J46="","",_xlfn.XLOOKUP(H46,'Emission Factors'!$M$18:$M$65,'Emission Factors'!$T$18:$T$65)*M46)</f>
        <v/>
      </c>
      <c r="O46" s="305" t="str">
        <f t="shared" si="10"/>
        <v/>
      </c>
      <c r="P46" s="107" t="str">
        <f t="shared" si="4"/>
        <v/>
      </c>
      <c r="Q46" s="306" t="str">
        <f>IF(J46="","",_xlfn.XLOOKUP(H46,'Emission Factors'!$M:$M,'Emission Factors'!$W:$W))</f>
        <v/>
      </c>
      <c r="R46" s="111"/>
      <c r="S46" s="67"/>
      <c r="T46" s="306" t="str">
        <f t="shared" si="7"/>
        <v/>
      </c>
      <c r="U46" s="306" t="str">
        <f>IF(J46="","",_xlfn.XLOOKUP(H46,'Emission Factors'!$M$432:$M$787,'Emission Factors'!$U$432:$U$787))</f>
        <v/>
      </c>
      <c r="V46" s="310" t="str">
        <f>IF($J46="","",IF(OR($J46="Litre",$J46="Tonne"),_xlfn.XLOOKUP(F46&amp;U46&amp;T46,Conversions!$E$20:$E$104,Conversions!$F$20:$F$104),INDEX(Conversions!$C$4:$I$10,MATCH('V1 - Fuels (Stationary)'!$T46,Conversions!$B$4:$B$10,0),MATCH('V1 - Fuels (Stationary)'!$U46,Conversions!$C$3:$I$3,0))))</f>
        <v/>
      </c>
      <c r="W46" s="310" t="str">
        <f>IF(J46="","",_xlfn.XLOOKUP(H46,'Emission Factors'!$M$432:$M$787,'Emission Factors'!$S$432:$S$787)*V46)</f>
        <v/>
      </c>
      <c r="X46" s="311" t="str">
        <f t="shared" si="8"/>
        <v/>
      </c>
      <c r="Y46" s="110" t="str">
        <f t="shared" si="11"/>
        <v/>
      </c>
      <c r="Z46" s="306" t="str">
        <f>IF(J46="","",_xlfn.XLOOKUP(H46,'Emission Factors'!$M$432:$M$787,'Emission Factors'!$W$432:$W$787))</f>
        <v/>
      </c>
      <c r="AA46" s="67"/>
      <c r="AB46" s="67"/>
      <c r="AC46" s="67"/>
      <c r="AD46" s="151"/>
    </row>
    <row r="47" spans="2:30">
      <c r="B47" s="166"/>
      <c r="C47" s="173"/>
      <c r="D47" s="103"/>
      <c r="E47" s="111"/>
      <c r="F47" s="103"/>
      <c r="G47" s="103"/>
      <c r="H47" s="105" t="str">
        <f>F47&amp;G47</f>
        <v/>
      </c>
      <c r="I47" s="113"/>
      <c r="J47" s="103"/>
      <c r="K47" s="97" t="str">
        <f t="shared" si="5"/>
        <v/>
      </c>
      <c r="L47" s="303" t="str">
        <f>IF(J47="","",_xlfn.XLOOKUP(H47,'Emission Factors'!$M$18:$M$65,'Emission Factors'!$U$18:$U$65))</f>
        <v/>
      </c>
      <c r="M47" s="304" t="str">
        <f>IF($J47="","",IF(OR($J47="Litre",$J47="Tonne"),_xlfn.XLOOKUP(F47&amp;L47&amp;K47,Conversions!$E$20:$E$104,Conversions!$F$20:$F$104),INDEX(Conversions!$C$4:$I$10,MATCH('V1 - Fuels (Stationary)'!$K47,Conversions!$B$4:$B$10,0),MATCH('V1 - Fuels (Stationary)'!$L47,Conversions!$C$3:$I$3,0))))</f>
        <v/>
      </c>
      <c r="N47" s="304" t="str">
        <f>IF(J47="","",_xlfn.XLOOKUP(H47,'Emission Factors'!$M$18:$M$65,'Emission Factors'!$T$18:$T$65)*M47)</f>
        <v/>
      </c>
      <c r="O47" s="305" t="str">
        <f t="shared" si="10"/>
        <v/>
      </c>
      <c r="P47" s="107" t="str">
        <f t="shared" si="4"/>
        <v/>
      </c>
      <c r="Q47" s="306" t="str">
        <f>IF(J47="","",_xlfn.XLOOKUP(H47,'Emission Factors'!$M:$M,'Emission Factors'!$W:$W))</f>
        <v/>
      </c>
      <c r="R47" s="111"/>
      <c r="S47" s="67"/>
      <c r="T47" s="306" t="str">
        <f t="shared" si="7"/>
        <v/>
      </c>
      <c r="U47" s="306" t="str">
        <f>IF(J47="","",_xlfn.XLOOKUP(H47,'Emission Factors'!$M$432:$M$787,'Emission Factors'!$U$432:$U$787))</f>
        <v/>
      </c>
      <c r="V47" s="310" t="str">
        <f>IF($J47="","",IF(OR($J47="Litre",$J47="Tonne"),_xlfn.XLOOKUP(F47&amp;U47&amp;T47,Conversions!$E$20:$E$104,Conversions!$F$20:$F$104),INDEX(Conversions!$C$4:$I$10,MATCH('V1 - Fuels (Stationary)'!$T47,Conversions!$B$4:$B$10,0),MATCH('V1 - Fuels (Stationary)'!$U47,Conversions!$C$3:$I$3,0))))</f>
        <v/>
      </c>
      <c r="W47" s="310" t="str">
        <f>IF(J47="","",_xlfn.XLOOKUP(H47,'Emission Factors'!$M$432:$M$787,'Emission Factors'!$S$432:$S$787)*V47)</f>
        <v/>
      </c>
      <c r="X47" s="311" t="str">
        <f t="shared" si="8"/>
        <v/>
      </c>
      <c r="Y47" s="110" t="str">
        <f t="shared" si="11"/>
        <v/>
      </c>
      <c r="Z47" s="306" t="str">
        <f>IF(J47="","",_xlfn.XLOOKUP(H47,'Emission Factors'!$M$432:$M$787,'Emission Factors'!$W$432:$W$787))</f>
        <v/>
      </c>
      <c r="AA47" s="67"/>
      <c r="AB47" s="67"/>
      <c r="AC47" s="67"/>
      <c r="AD47" s="151"/>
    </row>
    <row r="48" spans="2:30">
      <c r="B48" s="166"/>
      <c r="C48" s="173"/>
      <c r="D48" s="103"/>
      <c r="E48" s="111"/>
      <c r="F48" s="103"/>
      <c r="G48" s="103"/>
      <c r="H48" s="105" t="str">
        <f t="shared" si="14"/>
        <v/>
      </c>
      <c r="I48" s="113"/>
      <c r="J48" s="103"/>
      <c r="K48" s="97" t="str">
        <f t="shared" si="5"/>
        <v/>
      </c>
      <c r="L48" s="303" t="str">
        <f>IF(J48="","",_xlfn.XLOOKUP(H48,'Emission Factors'!$M$18:$M$65,'Emission Factors'!$U$18:$U$65))</f>
        <v/>
      </c>
      <c r="M48" s="304" t="str">
        <f>IF($J48="","",IF(OR($J48="Litre",$J48="Tonne"),_xlfn.XLOOKUP(F48&amp;L48&amp;K48,Conversions!$E$20:$E$104,Conversions!$F$20:$F$104),INDEX(Conversions!$C$4:$I$10,MATCH('V1 - Fuels (Stationary)'!$K48,Conversions!$B$4:$B$10,0),MATCH('V1 - Fuels (Stationary)'!$L48,Conversions!$C$3:$I$3,0))))</f>
        <v/>
      </c>
      <c r="N48" s="304" t="str">
        <f>IF(J48="","",_xlfn.XLOOKUP(H48,'Emission Factors'!$M$18:$M$65,'Emission Factors'!$T$18:$T$65)*M48)</f>
        <v/>
      </c>
      <c r="O48" s="305" t="str">
        <f t="shared" si="10"/>
        <v/>
      </c>
      <c r="P48" s="107" t="str">
        <f t="shared" si="4"/>
        <v/>
      </c>
      <c r="Q48" s="306" t="str">
        <f>IF(J48="","",_xlfn.XLOOKUP(H48,'Emission Factors'!$M:$M,'Emission Factors'!$W:$W))</f>
        <v/>
      </c>
      <c r="R48" s="111"/>
      <c r="S48" s="67"/>
      <c r="T48" s="306" t="str">
        <f t="shared" si="7"/>
        <v/>
      </c>
      <c r="U48" s="306" t="str">
        <f>IF(J48="","",_xlfn.XLOOKUP(H48,'Emission Factors'!$M$432:$M$787,'Emission Factors'!$U$432:$U$787))</f>
        <v/>
      </c>
      <c r="V48" s="310" t="str">
        <f>IF($J48="","",IF(OR($J48="Litre",$J48="Tonne"),_xlfn.XLOOKUP(F48&amp;U48&amp;T48,Conversions!$E$20:$E$104,Conversions!$F$20:$F$104),INDEX(Conversions!$C$4:$I$10,MATCH('V1 - Fuels (Stationary)'!$T48,Conversions!$B$4:$B$10,0),MATCH('V1 - Fuels (Stationary)'!$U48,Conversions!$C$3:$I$3,0))))</f>
        <v/>
      </c>
      <c r="W48" s="310" t="str">
        <f>IF(J48="","",_xlfn.XLOOKUP(H48,'Emission Factors'!$M$432:$M$787,'Emission Factors'!$S$432:$S$787)*V48)</f>
        <v/>
      </c>
      <c r="X48" s="311" t="str">
        <f t="shared" si="8"/>
        <v/>
      </c>
      <c r="Y48" s="110" t="str">
        <f t="shared" si="11"/>
        <v/>
      </c>
      <c r="Z48" s="306" t="str">
        <f>IF(J48="","",_xlfn.XLOOKUP(H48,'Emission Factors'!$M$432:$M$787,'Emission Factors'!$W$432:$W$787))</f>
        <v/>
      </c>
      <c r="AA48" s="67"/>
      <c r="AB48" s="67"/>
      <c r="AC48" s="67"/>
      <c r="AD48" s="151"/>
    </row>
    <row r="49" spans="2:30">
      <c r="B49" s="166"/>
      <c r="C49" s="173"/>
      <c r="D49" s="103"/>
      <c r="E49" s="111"/>
      <c r="F49" s="103"/>
      <c r="G49" s="103"/>
      <c r="H49" s="105" t="str">
        <f t="shared" si="14"/>
        <v/>
      </c>
      <c r="I49" s="113"/>
      <c r="J49" s="103"/>
      <c r="K49" s="97" t="str">
        <f t="shared" si="5"/>
        <v/>
      </c>
      <c r="L49" s="303" t="str">
        <f>IF(J49="","",_xlfn.XLOOKUP(H49,'Emission Factors'!$M$18:$M$65,'Emission Factors'!$U$18:$U$65))</f>
        <v/>
      </c>
      <c r="M49" s="304" t="str">
        <f>IF($J49="","",IF(OR($J49="Litre",$J49="Tonne"),_xlfn.XLOOKUP(F49&amp;L49&amp;K49,Conversions!$E$20:$E$104,Conversions!$F$20:$F$104),INDEX(Conversions!$C$4:$I$10,MATCH('V1 - Fuels (Stationary)'!$K49,Conversions!$B$4:$B$10,0),MATCH('V1 - Fuels (Stationary)'!$L49,Conversions!$C$3:$I$3,0))))</f>
        <v/>
      </c>
      <c r="N49" s="304" t="str">
        <f>IF(J49="","",_xlfn.XLOOKUP(H49,'Emission Factors'!$M$18:$M$65,'Emission Factors'!$T$18:$T$65)*M49)</f>
        <v/>
      </c>
      <c r="O49" s="305" t="str">
        <f t="shared" si="10"/>
        <v/>
      </c>
      <c r="P49" s="107" t="str">
        <f t="shared" si="4"/>
        <v/>
      </c>
      <c r="Q49" s="306" t="str">
        <f>IF(J49="","",_xlfn.XLOOKUP(H49,'Emission Factors'!$M:$M,'Emission Factors'!$W:$W))</f>
        <v/>
      </c>
      <c r="R49" s="111"/>
      <c r="S49" s="67"/>
      <c r="T49" s="306" t="str">
        <f t="shared" si="7"/>
        <v/>
      </c>
      <c r="U49" s="306" t="str">
        <f>IF(J49="","",_xlfn.XLOOKUP(H49,'Emission Factors'!$M$432:$M$787,'Emission Factors'!$U$432:$U$787))</f>
        <v/>
      </c>
      <c r="V49" s="310" t="str">
        <f>IF($J49="","",IF(OR($J49="Litre",$J49="Tonne"),_xlfn.XLOOKUP(F49&amp;U49&amp;T49,Conversions!$E$20:$E$104,Conversions!$F$20:$F$104),INDEX(Conversions!$C$4:$I$10,MATCH('V1 - Fuels (Stationary)'!$T49,Conversions!$B$4:$B$10,0),MATCH('V1 - Fuels (Stationary)'!$U49,Conversions!$C$3:$I$3,0))))</f>
        <v/>
      </c>
      <c r="W49" s="310" t="str">
        <f>IF(J49="","",_xlfn.XLOOKUP(H49,'Emission Factors'!$M$432:$M$787,'Emission Factors'!$S$432:$S$787)*V49)</f>
        <v/>
      </c>
      <c r="X49" s="311" t="str">
        <f t="shared" si="8"/>
        <v/>
      </c>
      <c r="Y49" s="110" t="str">
        <f t="shared" si="11"/>
        <v/>
      </c>
      <c r="Z49" s="306" t="str">
        <f>IF(J49="","",_xlfn.XLOOKUP(H49,'Emission Factors'!$M$432:$M$787,'Emission Factors'!$W$432:$W$787))</f>
        <v/>
      </c>
      <c r="AA49" s="67"/>
      <c r="AB49" s="67"/>
      <c r="AC49" s="67"/>
      <c r="AD49" s="151"/>
    </row>
    <row r="50" spans="2:30">
      <c r="B50" s="166"/>
      <c r="C50" s="173"/>
      <c r="D50" s="103"/>
      <c r="E50" s="111"/>
      <c r="F50" s="103"/>
      <c r="G50" s="103"/>
      <c r="H50" s="105" t="str">
        <f t="shared" si="14"/>
        <v/>
      </c>
      <c r="I50" s="113"/>
      <c r="J50" s="103"/>
      <c r="K50" s="97" t="str">
        <f t="shared" si="5"/>
        <v/>
      </c>
      <c r="L50" s="303" t="str">
        <f>IF(J50="","",_xlfn.XLOOKUP(H50,'Emission Factors'!$M$18:$M$65,'Emission Factors'!$U$18:$U$65))</f>
        <v/>
      </c>
      <c r="M50" s="304" t="str">
        <f>IF($J50="","",IF(OR($J50="Litre",$J50="Tonne"),_xlfn.XLOOKUP(F50&amp;L50&amp;K50,Conversions!$E$20:$E$104,Conversions!$F$20:$F$104),INDEX(Conversions!$C$4:$I$10,MATCH('V1 - Fuels (Stationary)'!$K50,Conversions!$B$4:$B$10,0),MATCH('V1 - Fuels (Stationary)'!$L50,Conversions!$C$3:$I$3,0))))</f>
        <v/>
      </c>
      <c r="N50" s="304" t="str">
        <f>IF(J50="","",_xlfn.XLOOKUP(H50,'Emission Factors'!$M$18:$M$65,'Emission Factors'!$T$18:$T$65)*M50)</f>
        <v/>
      </c>
      <c r="O50" s="305" t="str">
        <f t="shared" si="10"/>
        <v/>
      </c>
      <c r="P50" s="107" t="str">
        <f t="shared" si="4"/>
        <v/>
      </c>
      <c r="Q50" s="306" t="str">
        <f>IF(J50="","",_xlfn.XLOOKUP(H50,'Emission Factors'!$M:$M,'Emission Factors'!$W:$W))</f>
        <v/>
      </c>
      <c r="R50" s="111"/>
      <c r="S50" s="67"/>
      <c r="T50" s="306" t="str">
        <f t="shared" si="7"/>
        <v/>
      </c>
      <c r="U50" s="306" t="str">
        <f>IF(J50="","",_xlfn.XLOOKUP(H50,'Emission Factors'!$M$432:$M$787,'Emission Factors'!$U$432:$U$787))</f>
        <v/>
      </c>
      <c r="V50" s="310" t="str">
        <f>IF($J50="","",IF(OR($J50="Litre",$J50="Tonne"),_xlfn.XLOOKUP(F50&amp;U50&amp;T50,Conversions!$E$20:$E$104,Conversions!$F$20:$F$104),INDEX(Conversions!$C$4:$I$10,MATCH('V1 - Fuels (Stationary)'!$T50,Conversions!$B$4:$B$10,0),MATCH('V1 - Fuels (Stationary)'!$U50,Conversions!$C$3:$I$3,0))))</f>
        <v/>
      </c>
      <c r="W50" s="310" t="str">
        <f>IF(J50="","",_xlfn.XLOOKUP(H50,'Emission Factors'!$M$432:$M$787,'Emission Factors'!$S$432:$S$787)*V50)</f>
        <v/>
      </c>
      <c r="X50" s="311" t="str">
        <f t="shared" si="8"/>
        <v/>
      </c>
      <c r="Y50" s="110" t="str">
        <f t="shared" si="11"/>
        <v/>
      </c>
      <c r="Z50" s="306" t="str">
        <f>IF(J50="","",_xlfn.XLOOKUP(H50,'Emission Factors'!$M$432:$M$787,'Emission Factors'!$W$432:$W$787))</f>
        <v/>
      </c>
      <c r="AA50" s="67"/>
      <c r="AB50" s="67"/>
      <c r="AC50" s="67"/>
      <c r="AD50" s="151"/>
    </row>
    <row r="51" spans="2:30">
      <c r="B51" s="166"/>
      <c r="C51" s="173"/>
      <c r="D51" s="103"/>
      <c r="E51" s="111"/>
      <c r="F51" s="103"/>
      <c r="G51" s="103"/>
      <c r="H51" s="105" t="str">
        <f t="shared" si="14"/>
        <v/>
      </c>
      <c r="I51" s="113"/>
      <c r="J51" s="103"/>
      <c r="K51" s="97" t="str">
        <f t="shared" si="5"/>
        <v/>
      </c>
      <c r="L51" s="303" t="str">
        <f>IF(J51="","",_xlfn.XLOOKUP(H51,'Emission Factors'!$M$18:$M$65,'Emission Factors'!$U$18:$U$65))</f>
        <v/>
      </c>
      <c r="M51" s="304" t="str">
        <f>IF($J51="","",IF(OR($J51="Litre",$J51="Tonne"),_xlfn.XLOOKUP(F51&amp;L51&amp;K51,Conversions!$E$20:$E$104,Conversions!$F$20:$F$104),INDEX(Conversions!$C$4:$I$10,MATCH('V1 - Fuels (Stationary)'!$K51,Conversions!$B$4:$B$10,0),MATCH('V1 - Fuels (Stationary)'!$L51,Conversions!$C$3:$I$3,0))))</f>
        <v/>
      </c>
      <c r="N51" s="304" t="str">
        <f>IF(J51="","",_xlfn.XLOOKUP(H51,'Emission Factors'!$M$18:$M$65,'Emission Factors'!$T$18:$T$65)*M51)</f>
        <v/>
      </c>
      <c r="O51" s="305" t="str">
        <f t="shared" si="10"/>
        <v/>
      </c>
      <c r="P51" s="107" t="str">
        <f t="shared" si="4"/>
        <v/>
      </c>
      <c r="Q51" s="306" t="str">
        <f>IF(J51="","",_xlfn.XLOOKUP(H51,'Emission Factors'!$M:$M,'Emission Factors'!$W:$W))</f>
        <v/>
      </c>
      <c r="R51" s="111"/>
      <c r="S51" s="67"/>
      <c r="T51" s="306" t="str">
        <f t="shared" si="7"/>
        <v/>
      </c>
      <c r="U51" s="306" t="str">
        <f>IF(J51="","",_xlfn.XLOOKUP(H51,'Emission Factors'!$M$432:$M$787,'Emission Factors'!$U$432:$U$787))</f>
        <v/>
      </c>
      <c r="V51" s="310" t="str">
        <f>IF($J51="","",IF(OR($J51="Litre",$J51="Tonne"),_xlfn.XLOOKUP(F51&amp;U51&amp;T51,Conversions!$E$20:$E$104,Conversions!$F$20:$F$104),INDEX(Conversions!$C$4:$I$10,MATCH('V1 - Fuels (Stationary)'!$T51,Conversions!$B$4:$B$10,0),MATCH('V1 - Fuels (Stationary)'!$U51,Conversions!$C$3:$I$3,0))))</f>
        <v/>
      </c>
      <c r="W51" s="310" t="str">
        <f>IF(J51="","",_xlfn.XLOOKUP(H51,'Emission Factors'!$M$432:$M$787,'Emission Factors'!$S$432:$S$787)*V51)</f>
        <v/>
      </c>
      <c r="X51" s="311" t="str">
        <f t="shared" si="8"/>
        <v/>
      </c>
      <c r="Y51" s="110" t="str">
        <f t="shared" si="11"/>
        <v/>
      </c>
      <c r="Z51" s="306" t="str">
        <f>IF(J51="","",_xlfn.XLOOKUP(H51,'Emission Factors'!$M$432:$M$787,'Emission Factors'!$W$432:$W$787))</f>
        <v/>
      </c>
      <c r="AA51" s="67"/>
      <c r="AB51" s="67"/>
      <c r="AC51" s="67"/>
      <c r="AD51" s="151"/>
    </row>
    <row r="52" spans="2:30">
      <c r="B52" s="166"/>
      <c r="C52" s="173"/>
      <c r="D52" s="103"/>
      <c r="E52" s="111"/>
      <c r="F52" s="103"/>
      <c r="G52" s="103"/>
      <c r="H52" s="105" t="str">
        <f t="shared" si="14"/>
        <v/>
      </c>
      <c r="I52" s="113"/>
      <c r="J52" s="103"/>
      <c r="K52" s="97" t="str">
        <f t="shared" si="5"/>
        <v/>
      </c>
      <c r="L52" s="303" t="str">
        <f>IF(J52="","",_xlfn.XLOOKUP(H52,'Emission Factors'!$M$18:$M$65,'Emission Factors'!$U$18:$U$65))</f>
        <v/>
      </c>
      <c r="M52" s="304" t="str">
        <f>IF($J52="","",IF(OR($J52="Litre",$J52="Tonne"),_xlfn.XLOOKUP(F52&amp;L52&amp;K52,Conversions!$E$20:$E$104,Conversions!$F$20:$F$104),INDEX(Conversions!$C$4:$I$10,MATCH('V1 - Fuels (Stationary)'!$K52,Conversions!$B$4:$B$10,0),MATCH('V1 - Fuels (Stationary)'!$L52,Conversions!$C$3:$I$3,0))))</f>
        <v/>
      </c>
      <c r="N52" s="304" t="str">
        <f>IF(J52="","",_xlfn.XLOOKUP(H52,'Emission Factors'!$M$18:$M$65,'Emission Factors'!$T$18:$T$65)*M52)</f>
        <v/>
      </c>
      <c r="O52" s="305" t="str">
        <f t="shared" si="10"/>
        <v/>
      </c>
      <c r="P52" s="107" t="str">
        <f t="shared" si="4"/>
        <v/>
      </c>
      <c r="Q52" s="306" t="str">
        <f>IF(J52="","",_xlfn.XLOOKUP(H52,'Emission Factors'!$M:$M,'Emission Factors'!$W:$W))</f>
        <v/>
      </c>
      <c r="R52" s="111"/>
      <c r="S52" s="67"/>
      <c r="T52" s="306" t="str">
        <f t="shared" si="7"/>
        <v/>
      </c>
      <c r="U52" s="306" t="str">
        <f>IF(J52="","",_xlfn.XLOOKUP(H52,'Emission Factors'!$M$432:$M$787,'Emission Factors'!$U$432:$U$787))</f>
        <v/>
      </c>
      <c r="V52" s="310" t="str">
        <f>IF($J52="","",IF(OR($J52="Litre",$J52="Tonne"),_xlfn.XLOOKUP(F52&amp;U52&amp;T52,Conversions!$E$20:$E$104,Conversions!$F$20:$F$104),INDEX(Conversions!$C$4:$I$10,MATCH('V1 - Fuels (Stationary)'!$T52,Conversions!$B$4:$B$10,0),MATCH('V1 - Fuels (Stationary)'!$U52,Conversions!$C$3:$I$3,0))))</f>
        <v/>
      </c>
      <c r="W52" s="310" t="str">
        <f>IF(J52="","",_xlfn.XLOOKUP(H52,'Emission Factors'!$M$432:$M$787,'Emission Factors'!$S$432:$S$787)*V52)</f>
        <v/>
      </c>
      <c r="X52" s="311" t="str">
        <f t="shared" si="8"/>
        <v/>
      </c>
      <c r="Y52" s="110" t="str">
        <f t="shared" si="11"/>
        <v/>
      </c>
      <c r="Z52" s="306" t="str">
        <f>IF(J52="","",_xlfn.XLOOKUP(H52,'Emission Factors'!$M$432:$M$787,'Emission Factors'!$W$432:$W$787))</f>
        <v/>
      </c>
      <c r="AA52" s="67"/>
      <c r="AB52" s="67"/>
      <c r="AC52" s="67"/>
      <c r="AD52" s="151"/>
    </row>
    <row r="53" spans="2:30">
      <c r="B53" s="166"/>
      <c r="C53" s="173"/>
      <c r="D53" s="103"/>
      <c r="E53" s="111"/>
      <c r="F53" s="103"/>
      <c r="G53" s="103"/>
      <c r="H53" s="105" t="str">
        <f t="shared" si="14"/>
        <v/>
      </c>
      <c r="I53" s="113"/>
      <c r="J53" s="103"/>
      <c r="K53" s="97" t="str">
        <f t="shared" si="5"/>
        <v/>
      </c>
      <c r="L53" s="303" t="str">
        <f>IF(J53="","",_xlfn.XLOOKUP(H53,'Emission Factors'!$M$18:$M$65,'Emission Factors'!$U$18:$U$65))</f>
        <v/>
      </c>
      <c r="M53" s="304" t="str">
        <f>IF($J53="","",IF(OR($J53="Litre",$J53="Tonne"),_xlfn.XLOOKUP(F53&amp;L53&amp;K53,Conversions!$E$20:$E$104,Conversions!$F$20:$F$104),INDEX(Conversions!$C$4:$I$10,MATCH('V1 - Fuels (Stationary)'!$K53,Conversions!$B$4:$B$10,0),MATCH('V1 - Fuels (Stationary)'!$L53,Conversions!$C$3:$I$3,0))))</f>
        <v/>
      </c>
      <c r="N53" s="304" t="str">
        <f>IF(J53="","",_xlfn.XLOOKUP(H53,'Emission Factors'!$M$18:$M$65,'Emission Factors'!$T$18:$T$65)*M53)</f>
        <v/>
      </c>
      <c r="O53" s="305" t="str">
        <f t="shared" si="10"/>
        <v/>
      </c>
      <c r="P53" s="107" t="str">
        <f t="shared" si="4"/>
        <v/>
      </c>
      <c r="Q53" s="306" t="str">
        <f>IF(J53="","",_xlfn.XLOOKUP(H53,'Emission Factors'!$M:$M,'Emission Factors'!$W:$W))</f>
        <v/>
      </c>
      <c r="R53" s="111"/>
      <c r="S53" s="67"/>
      <c r="T53" s="306" t="str">
        <f t="shared" si="7"/>
        <v/>
      </c>
      <c r="U53" s="306" t="str">
        <f>IF(J53="","",_xlfn.XLOOKUP(H53,'Emission Factors'!$M$432:$M$787,'Emission Factors'!$U$432:$U$787))</f>
        <v/>
      </c>
      <c r="V53" s="310" t="str">
        <f>IF($J53="","",IF(OR($J53="Litre",$J53="Tonne"),_xlfn.XLOOKUP(F53&amp;U53&amp;T53,Conversions!$E$20:$E$104,Conversions!$F$20:$F$104),INDEX(Conversions!$C$4:$I$10,MATCH('V1 - Fuels (Stationary)'!$T53,Conversions!$B$4:$B$10,0),MATCH('V1 - Fuels (Stationary)'!$U53,Conversions!$C$3:$I$3,0))))</f>
        <v/>
      </c>
      <c r="W53" s="310" t="str">
        <f>IF(J53="","",_xlfn.XLOOKUP(H53,'Emission Factors'!$M$432:$M$787,'Emission Factors'!$S$432:$S$787)*V53)</f>
        <v/>
      </c>
      <c r="X53" s="311" t="str">
        <f t="shared" si="8"/>
        <v/>
      </c>
      <c r="Y53" s="110" t="str">
        <f t="shared" si="11"/>
        <v/>
      </c>
      <c r="Z53" s="306" t="str">
        <f>IF(J53="","",_xlfn.XLOOKUP(H53,'Emission Factors'!$M$432:$M$787,'Emission Factors'!$W$432:$W$787))</f>
        <v/>
      </c>
      <c r="AA53" s="67"/>
      <c r="AB53" s="67"/>
      <c r="AC53" s="67"/>
      <c r="AD53" s="151"/>
    </row>
    <row r="54" spans="2:30">
      <c r="B54" s="166"/>
      <c r="C54" s="173"/>
      <c r="D54" s="103"/>
      <c r="E54" s="111"/>
      <c r="F54" s="103"/>
      <c r="G54" s="103"/>
      <c r="H54" s="105" t="str">
        <f t="shared" si="14"/>
        <v/>
      </c>
      <c r="I54" s="113"/>
      <c r="J54" s="103"/>
      <c r="K54" s="97" t="str">
        <f t="shared" si="5"/>
        <v/>
      </c>
      <c r="L54" s="303" t="str">
        <f>IF(J54="","",_xlfn.XLOOKUP(H54,'Emission Factors'!$M$18:$M$65,'Emission Factors'!$U$18:$U$65))</f>
        <v/>
      </c>
      <c r="M54" s="304" t="str">
        <f>IF($J54="","",IF(OR($J54="Litre",$J54="Tonne"),_xlfn.XLOOKUP(F54&amp;L54&amp;K54,Conversions!$E$20:$E$104,Conversions!$F$20:$F$104),INDEX(Conversions!$C$4:$I$10,MATCH('V1 - Fuels (Stationary)'!$K54,Conversions!$B$4:$B$10,0),MATCH('V1 - Fuels (Stationary)'!$L54,Conversions!$C$3:$I$3,0))))</f>
        <v/>
      </c>
      <c r="N54" s="304" t="str">
        <f>IF(J54="","",_xlfn.XLOOKUP(H54,'Emission Factors'!$M$18:$M$65,'Emission Factors'!$T$18:$T$65)*M54)</f>
        <v/>
      </c>
      <c r="O54" s="305" t="str">
        <f t="shared" si="10"/>
        <v/>
      </c>
      <c r="P54" s="107" t="str">
        <f t="shared" si="4"/>
        <v/>
      </c>
      <c r="Q54" s="306" t="str">
        <f>IF(J54="","",_xlfn.XLOOKUP(H54,'Emission Factors'!$M:$M,'Emission Factors'!$W:$W))</f>
        <v/>
      </c>
      <c r="R54" s="111"/>
      <c r="S54" s="67"/>
      <c r="T54" s="306" t="str">
        <f t="shared" si="7"/>
        <v/>
      </c>
      <c r="U54" s="306" t="str">
        <f>IF(J54="","",_xlfn.XLOOKUP(H54,'Emission Factors'!$M$432:$M$787,'Emission Factors'!$U$432:$U$787))</f>
        <v/>
      </c>
      <c r="V54" s="310" t="str">
        <f>IF($J54="","",IF(OR($J54="Litre",$J54="Tonne"),_xlfn.XLOOKUP(F54&amp;U54&amp;T54,Conversions!$E$20:$E$104,Conversions!$F$20:$F$104),INDEX(Conversions!$C$4:$I$10,MATCH('V1 - Fuels (Stationary)'!$T54,Conversions!$B$4:$B$10,0),MATCH('V1 - Fuels (Stationary)'!$U54,Conversions!$C$3:$I$3,0))))</f>
        <v/>
      </c>
      <c r="W54" s="310" t="str">
        <f>IF(J54="","",_xlfn.XLOOKUP(H54,'Emission Factors'!$M$432:$M$787,'Emission Factors'!$S$432:$S$787)*V54)</f>
        <v/>
      </c>
      <c r="X54" s="311" t="str">
        <f t="shared" si="8"/>
        <v/>
      </c>
      <c r="Y54" s="110" t="str">
        <f t="shared" si="11"/>
        <v/>
      </c>
      <c r="Z54" s="306" t="str">
        <f>IF(J54="","",_xlfn.XLOOKUP(H54,'Emission Factors'!$M$432:$M$787,'Emission Factors'!$W$432:$W$787))</f>
        <v/>
      </c>
      <c r="AA54" s="67"/>
      <c r="AB54" s="67"/>
      <c r="AC54" s="67"/>
      <c r="AD54" s="151"/>
    </row>
    <row r="55" spans="2:30">
      <c r="B55" s="166"/>
      <c r="C55" s="173"/>
      <c r="D55" s="103"/>
      <c r="E55" s="111"/>
      <c r="F55" s="103"/>
      <c r="G55" s="103"/>
      <c r="H55" s="105" t="str">
        <f t="shared" si="14"/>
        <v/>
      </c>
      <c r="I55" s="113"/>
      <c r="J55" s="103"/>
      <c r="K55" s="97" t="str">
        <f t="shared" si="5"/>
        <v/>
      </c>
      <c r="L55" s="303" t="str">
        <f>IF(J55="","",_xlfn.XLOOKUP(H55,'Emission Factors'!$M$18:$M$65,'Emission Factors'!$U$18:$U$65))</f>
        <v/>
      </c>
      <c r="M55" s="304" t="str">
        <f>IF($J55="","",IF(OR($J55="Litre",$J55="Tonne"),_xlfn.XLOOKUP(F55&amp;L55&amp;K55,Conversions!$E$20:$E$104,Conversions!$F$20:$F$104),INDEX(Conversions!$C$4:$I$10,MATCH('V1 - Fuels (Stationary)'!$K55,Conversions!$B$4:$B$10,0),MATCH('V1 - Fuels (Stationary)'!$L55,Conversions!$C$3:$I$3,0))))</f>
        <v/>
      </c>
      <c r="N55" s="304" t="str">
        <f>IF(J55="","",_xlfn.XLOOKUP(H55,'Emission Factors'!$M$18:$M$65,'Emission Factors'!$T$18:$T$65)*M55)</f>
        <v/>
      </c>
      <c r="O55" s="305" t="str">
        <f t="shared" si="10"/>
        <v/>
      </c>
      <c r="P55" s="107" t="str">
        <f t="shared" si="4"/>
        <v/>
      </c>
      <c r="Q55" s="306" t="str">
        <f>IF(J55="","",_xlfn.XLOOKUP(H55,'Emission Factors'!$M:$M,'Emission Factors'!$W:$W))</f>
        <v/>
      </c>
      <c r="R55" s="111"/>
      <c r="S55" s="67"/>
      <c r="T55" s="306" t="str">
        <f t="shared" si="7"/>
        <v/>
      </c>
      <c r="U55" s="306" t="str">
        <f>IF(J55="","",_xlfn.XLOOKUP(H55,'Emission Factors'!$M$432:$M$787,'Emission Factors'!$U$432:$U$787))</f>
        <v/>
      </c>
      <c r="V55" s="310" t="str">
        <f>IF($J55="","",IF(OR($J55="Litre",$J55="Tonne"),_xlfn.XLOOKUP(F55&amp;U55&amp;T55,Conversions!$E$20:$E$104,Conversions!$F$20:$F$104),INDEX(Conversions!$C$4:$I$10,MATCH('V1 - Fuels (Stationary)'!$T55,Conversions!$B$4:$B$10,0),MATCH('V1 - Fuels (Stationary)'!$U55,Conversions!$C$3:$I$3,0))))</f>
        <v/>
      </c>
      <c r="W55" s="310" t="str">
        <f>IF(J55="","",_xlfn.XLOOKUP(H55,'Emission Factors'!$M$432:$M$787,'Emission Factors'!$S$432:$S$787)*V55)</f>
        <v/>
      </c>
      <c r="X55" s="311" t="str">
        <f t="shared" si="8"/>
        <v/>
      </c>
      <c r="Y55" s="110" t="str">
        <f t="shared" si="11"/>
        <v/>
      </c>
      <c r="Z55" s="306" t="str">
        <f>IF(J55="","",_xlfn.XLOOKUP(H55,'Emission Factors'!$M$432:$M$787,'Emission Factors'!$W$432:$W$787))</f>
        <v/>
      </c>
      <c r="AA55" s="67"/>
      <c r="AB55" s="67"/>
      <c r="AC55" s="67"/>
      <c r="AD55" s="151"/>
    </row>
    <row r="56" spans="2:30">
      <c r="B56" s="166"/>
      <c r="C56" s="173"/>
      <c r="D56" s="103"/>
      <c r="E56" s="111"/>
      <c r="F56" s="103"/>
      <c r="G56" s="103"/>
      <c r="H56" s="105" t="str">
        <f t="shared" si="14"/>
        <v/>
      </c>
      <c r="I56" s="113"/>
      <c r="J56" s="103"/>
      <c r="K56" s="97" t="str">
        <f t="shared" si="5"/>
        <v/>
      </c>
      <c r="L56" s="303" t="str">
        <f>IF(J56="","",_xlfn.XLOOKUP(H56,'Emission Factors'!$M$18:$M$65,'Emission Factors'!$U$18:$U$65))</f>
        <v/>
      </c>
      <c r="M56" s="304" t="str">
        <f>IF($J56="","",IF(OR($J56="Litre",$J56="Tonne"),_xlfn.XLOOKUP(F56&amp;L56&amp;K56,Conversions!$E$20:$E$104,Conversions!$F$20:$F$104),INDEX(Conversions!$C$4:$I$10,MATCH('V1 - Fuels (Stationary)'!$K56,Conversions!$B$4:$B$10,0),MATCH('V1 - Fuels (Stationary)'!$L56,Conversions!$C$3:$I$3,0))))</f>
        <v/>
      </c>
      <c r="N56" s="304" t="str">
        <f>IF(J56="","",_xlfn.XLOOKUP(H56,'Emission Factors'!$M$18:$M$65,'Emission Factors'!$T$18:$T$65)*M56)</f>
        <v/>
      </c>
      <c r="O56" s="305" t="str">
        <f t="shared" si="10"/>
        <v/>
      </c>
      <c r="P56" s="107" t="str">
        <f t="shared" si="4"/>
        <v/>
      </c>
      <c r="Q56" s="306" t="str">
        <f>IF(J56="","",_xlfn.XLOOKUP(H56,'Emission Factors'!$M:$M,'Emission Factors'!$W:$W))</f>
        <v/>
      </c>
      <c r="R56" s="111"/>
      <c r="S56" s="67"/>
      <c r="T56" s="306" t="str">
        <f t="shared" si="7"/>
        <v/>
      </c>
      <c r="U56" s="306" t="str">
        <f>IF(J56="","",_xlfn.XLOOKUP(H56,'Emission Factors'!$M$432:$M$787,'Emission Factors'!$U$432:$U$787))</f>
        <v/>
      </c>
      <c r="V56" s="310" t="str">
        <f>IF($J56="","",IF(OR($J56="Litre",$J56="Tonne"),_xlfn.XLOOKUP(F56&amp;U56&amp;T56,Conversions!$E$20:$E$104,Conversions!$F$20:$F$104),INDEX(Conversions!$C$4:$I$10,MATCH('V1 - Fuels (Stationary)'!$T56,Conversions!$B$4:$B$10,0),MATCH('V1 - Fuels (Stationary)'!$U56,Conversions!$C$3:$I$3,0))))</f>
        <v/>
      </c>
      <c r="W56" s="310" t="str">
        <f>IF(J56="","",_xlfn.XLOOKUP(H56,'Emission Factors'!$M$432:$M$787,'Emission Factors'!$S$432:$S$787)*V56)</f>
        <v/>
      </c>
      <c r="X56" s="311" t="str">
        <f t="shared" si="8"/>
        <v/>
      </c>
      <c r="Y56" s="110" t="str">
        <f t="shared" si="11"/>
        <v/>
      </c>
      <c r="Z56" s="306" t="str">
        <f>IF(J56="","",_xlfn.XLOOKUP(H56,'Emission Factors'!$M$432:$M$787,'Emission Factors'!$W$432:$W$787))</f>
        <v/>
      </c>
      <c r="AA56" s="67"/>
      <c r="AB56" s="67"/>
      <c r="AC56" s="67"/>
      <c r="AD56" s="151"/>
    </row>
    <row r="57" spans="2:30">
      <c r="B57" s="166"/>
      <c r="C57" s="173"/>
      <c r="D57" s="103"/>
      <c r="E57" s="111"/>
      <c r="F57" s="103"/>
      <c r="G57" s="103"/>
      <c r="H57" s="105" t="str">
        <f t="shared" si="14"/>
        <v/>
      </c>
      <c r="I57" s="113"/>
      <c r="J57" s="103"/>
      <c r="K57" s="97" t="str">
        <f t="shared" si="5"/>
        <v/>
      </c>
      <c r="L57" s="303" t="str">
        <f>IF(J57="","",_xlfn.XLOOKUP(H57,'Emission Factors'!$M$18:$M$65,'Emission Factors'!$U$18:$U$65))</f>
        <v/>
      </c>
      <c r="M57" s="304" t="str">
        <f>IF($J57="","",IF(OR($J57="Litre",$J57="Tonne"),_xlfn.XLOOKUP(F57&amp;L57&amp;K57,Conversions!$E$20:$E$104,Conversions!$F$20:$F$104),INDEX(Conversions!$C$4:$I$10,MATCH('V1 - Fuels (Stationary)'!$K57,Conversions!$B$4:$B$10,0),MATCH('V1 - Fuels (Stationary)'!$L57,Conversions!$C$3:$I$3,0))))</f>
        <v/>
      </c>
      <c r="N57" s="304" t="str">
        <f>IF(J57="","",_xlfn.XLOOKUP(H57,'Emission Factors'!$M$18:$M$65,'Emission Factors'!$T$18:$T$65)*M57)</f>
        <v/>
      </c>
      <c r="O57" s="305" t="str">
        <f t="shared" si="10"/>
        <v/>
      </c>
      <c r="P57" s="107" t="str">
        <f t="shared" si="4"/>
        <v/>
      </c>
      <c r="Q57" s="306" t="str">
        <f>IF(J57="","",_xlfn.XLOOKUP(H57,'Emission Factors'!$M:$M,'Emission Factors'!$W:$W))</f>
        <v/>
      </c>
      <c r="R57" s="111"/>
      <c r="S57" s="67"/>
      <c r="T57" s="306" t="str">
        <f t="shared" si="7"/>
        <v/>
      </c>
      <c r="U57" s="306" t="str">
        <f>IF(J57="","",_xlfn.XLOOKUP(H57,'Emission Factors'!$M$432:$M$787,'Emission Factors'!$U$432:$U$787))</f>
        <v/>
      </c>
      <c r="V57" s="310" t="str">
        <f>IF($J57="","",IF(OR($J57="Litre",$J57="Tonne"),_xlfn.XLOOKUP(F57&amp;U57&amp;T57,Conversions!$E$20:$E$104,Conversions!$F$20:$F$104),INDEX(Conversions!$C$4:$I$10,MATCH('V1 - Fuels (Stationary)'!$T57,Conversions!$B$4:$B$10,0),MATCH('V1 - Fuels (Stationary)'!$U57,Conversions!$C$3:$I$3,0))))</f>
        <v/>
      </c>
      <c r="W57" s="310" t="str">
        <f>IF(J57="","",_xlfn.XLOOKUP(H57,'Emission Factors'!$M$432:$M$787,'Emission Factors'!$S$432:$S$787)*V57)</f>
        <v/>
      </c>
      <c r="X57" s="311" t="str">
        <f t="shared" si="8"/>
        <v/>
      </c>
      <c r="Y57" s="110" t="str">
        <f t="shared" si="11"/>
        <v/>
      </c>
      <c r="Z57" s="306" t="str">
        <f>IF(J57="","",_xlfn.XLOOKUP(H57,'Emission Factors'!$M$432:$M$787,'Emission Factors'!$W$432:$W$787))</f>
        <v/>
      </c>
      <c r="AA57" s="67"/>
      <c r="AB57" s="67"/>
      <c r="AC57" s="67"/>
      <c r="AD57" s="151"/>
    </row>
    <row r="58" spans="2:30">
      <c r="B58" s="166"/>
      <c r="C58" s="173"/>
      <c r="D58" s="103"/>
      <c r="E58" s="111"/>
      <c r="F58" s="103"/>
      <c r="G58" s="103"/>
      <c r="H58" s="105" t="str">
        <f t="shared" si="14"/>
        <v/>
      </c>
      <c r="I58" s="113"/>
      <c r="J58" s="103"/>
      <c r="K58" s="97" t="str">
        <f t="shared" si="5"/>
        <v/>
      </c>
      <c r="L58" s="303" t="str">
        <f>IF(J58="","",_xlfn.XLOOKUP(H58,'Emission Factors'!$M$18:$M$65,'Emission Factors'!$U$18:$U$65))</f>
        <v/>
      </c>
      <c r="M58" s="304" t="str">
        <f>IF($J58="","",IF(OR($J58="Litre",$J58="Tonne"),_xlfn.XLOOKUP(F58&amp;L58&amp;K58,Conversions!$E$20:$E$104,Conversions!$F$20:$F$104),INDEX(Conversions!$C$4:$I$10,MATCH('V1 - Fuels (Stationary)'!$K58,Conversions!$B$4:$B$10,0),MATCH('V1 - Fuels (Stationary)'!$L58,Conversions!$C$3:$I$3,0))))</f>
        <v/>
      </c>
      <c r="N58" s="304" t="str">
        <f>IF(J58="","",_xlfn.XLOOKUP(H58,'Emission Factors'!$M$18:$M$65,'Emission Factors'!$T$18:$T$65)*M58)</f>
        <v/>
      </c>
      <c r="O58" s="305" t="str">
        <f t="shared" si="10"/>
        <v/>
      </c>
      <c r="P58" s="107" t="str">
        <f t="shared" si="4"/>
        <v/>
      </c>
      <c r="Q58" s="306" t="str">
        <f>IF(J58="","",_xlfn.XLOOKUP(H58,'Emission Factors'!$M:$M,'Emission Factors'!$W:$W))</f>
        <v/>
      </c>
      <c r="R58" s="111"/>
      <c r="S58" s="67"/>
      <c r="T58" s="306" t="str">
        <f t="shared" si="7"/>
        <v/>
      </c>
      <c r="U58" s="306" t="str">
        <f>IF(J58="","",_xlfn.XLOOKUP(H58,'Emission Factors'!$M$432:$M$787,'Emission Factors'!$U$432:$U$787))</f>
        <v/>
      </c>
      <c r="V58" s="310" t="str">
        <f>IF($J58="","",IF(OR($J58="Litre",$J58="Tonne"),_xlfn.XLOOKUP(F58&amp;U58&amp;T58,Conversions!$E$20:$E$104,Conversions!$F$20:$F$104),INDEX(Conversions!$C$4:$I$10,MATCH('V1 - Fuels (Stationary)'!$T58,Conversions!$B$4:$B$10,0),MATCH('V1 - Fuels (Stationary)'!$U58,Conversions!$C$3:$I$3,0))))</f>
        <v/>
      </c>
      <c r="W58" s="310" t="str">
        <f>IF(J58="","",_xlfn.XLOOKUP(H58,'Emission Factors'!$M$432:$M$787,'Emission Factors'!$S$432:$S$787)*V58)</f>
        <v/>
      </c>
      <c r="X58" s="311" t="str">
        <f t="shared" si="8"/>
        <v/>
      </c>
      <c r="Y58" s="110" t="str">
        <f t="shared" si="11"/>
        <v/>
      </c>
      <c r="Z58" s="306" t="str">
        <f>IF(J58="","",_xlfn.XLOOKUP(H58,'Emission Factors'!$M$432:$M$787,'Emission Factors'!$W$432:$W$787))</f>
        <v/>
      </c>
      <c r="AA58" s="67"/>
      <c r="AB58" s="67"/>
      <c r="AC58" s="67"/>
      <c r="AD58" s="151"/>
    </row>
    <row r="59" spans="2:30">
      <c r="B59" s="166"/>
      <c r="C59" s="173"/>
      <c r="D59" s="103"/>
      <c r="E59" s="111"/>
      <c r="F59" s="103"/>
      <c r="G59" s="103"/>
      <c r="H59" s="105" t="str">
        <f t="shared" si="14"/>
        <v/>
      </c>
      <c r="I59" s="113"/>
      <c r="J59" s="103"/>
      <c r="K59" s="97" t="str">
        <f t="shared" si="5"/>
        <v/>
      </c>
      <c r="L59" s="303" t="str">
        <f>IF(J59="","",_xlfn.XLOOKUP(H59,'Emission Factors'!$M$18:$M$65,'Emission Factors'!$U$18:$U$65))</f>
        <v/>
      </c>
      <c r="M59" s="304" t="str">
        <f>IF($J59="","",IF(OR($J59="Litre",$J59="Tonne"),_xlfn.XLOOKUP(F59&amp;L59&amp;K59,Conversions!$E$20:$E$104,Conversions!$F$20:$F$104),INDEX(Conversions!$C$4:$I$10,MATCH('V1 - Fuels (Stationary)'!$K59,Conversions!$B$4:$B$10,0),MATCH('V1 - Fuels (Stationary)'!$L59,Conversions!$C$3:$I$3,0))))</f>
        <v/>
      </c>
      <c r="N59" s="304" t="str">
        <f>IF(J59="","",_xlfn.XLOOKUP(H59,'Emission Factors'!$M$18:$M$65,'Emission Factors'!$T$18:$T$65)*M59)</f>
        <v/>
      </c>
      <c r="O59" s="305" t="str">
        <f t="shared" si="10"/>
        <v/>
      </c>
      <c r="P59" s="107" t="str">
        <f t="shared" si="4"/>
        <v/>
      </c>
      <c r="Q59" s="306" t="str">
        <f>IF(J59="","",_xlfn.XLOOKUP(H59,'Emission Factors'!$M:$M,'Emission Factors'!$W:$W))</f>
        <v/>
      </c>
      <c r="R59" s="111"/>
      <c r="S59" s="67"/>
      <c r="T59" s="306" t="str">
        <f t="shared" si="7"/>
        <v/>
      </c>
      <c r="U59" s="306" t="str">
        <f>IF(J59="","",_xlfn.XLOOKUP(H59,'Emission Factors'!$M$432:$M$787,'Emission Factors'!$U$432:$U$787))</f>
        <v/>
      </c>
      <c r="V59" s="310" t="str">
        <f>IF($J59="","",IF(OR($J59="Litre",$J59="Tonne"),_xlfn.XLOOKUP(F59&amp;U59&amp;T59,Conversions!$E$20:$E$104,Conversions!$F$20:$F$104),INDEX(Conversions!$C$4:$I$10,MATCH('V1 - Fuels (Stationary)'!$T59,Conversions!$B$4:$B$10,0),MATCH('V1 - Fuels (Stationary)'!$U59,Conversions!$C$3:$I$3,0))))</f>
        <v/>
      </c>
      <c r="W59" s="310" t="str">
        <f>IF(J59="","",_xlfn.XLOOKUP(H59,'Emission Factors'!$M$432:$M$787,'Emission Factors'!$S$432:$S$787)*V59)</f>
        <v/>
      </c>
      <c r="X59" s="311" t="str">
        <f t="shared" si="8"/>
        <v/>
      </c>
      <c r="Y59" s="110" t="str">
        <f t="shared" si="11"/>
        <v/>
      </c>
      <c r="Z59" s="306" t="str">
        <f>IF(J59="","",_xlfn.XLOOKUP(H59,'Emission Factors'!$M$432:$M$787,'Emission Factors'!$W$432:$W$787))</f>
        <v/>
      </c>
      <c r="AA59" s="67"/>
      <c r="AB59" s="67"/>
      <c r="AC59" s="67"/>
      <c r="AD59" s="151"/>
    </row>
    <row r="60" spans="2:30">
      <c r="B60" s="166"/>
      <c r="C60" s="173"/>
      <c r="D60" s="103"/>
      <c r="E60" s="111"/>
      <c r="F60" s="103"/>
      <c r="G60" s="103"/>
      <c r="H60" s="105" t="str">
        <f t="shared" si="14"/>
        <v/>
      </c>
      <c r="I60" s="113"/>
      <c r="J60" s="103"/>
      <c r="K60" s="97" t="str">
        <f t="shared" si="5"/>
        <v/>
      </c>
      <c r="L60" s="303" t="str">
        <f>IF(J60="","",_xlfn.XLOOKUP(H60,'Emission Factors'!$M$18:$M$65,'Emission Factors'!$U$18:$U$65))</f>
        <v/>
      </c>
      <c r="M60" s="304" t="str">
        <f>IF($J60="","",IF(OR($J60="Litre",$J60="Tonne"),_xlfn.XLOOKUP(F60&amp;L60&amp;K60,Conversions!$E$20:$E$104,Conversions!$F$20:$F$104),INDEX(Conversions!$C$4:$I$10,MATCH('V1 - Fuels (Stationary)'!$K60,Conversions!$B$4:$B$10,0),MATCH('V1 - Fuels (Stationary)'!$L60,Conversions!$C$3:$I$3,0))))</f>
        <v/>
      </c>
      <c r="N60" s="304" t="str">
        <f>IF(J60="","",_xlfn.XLOOKUP(H60,'Emission Factors'!$M$18:$M$65,'Emission Factors'!$T$18:$T$65)*M60)</f>
        <v/>
      </c>
      <c r="O60" s="305" t="str">
        <f t="shared" si="10"/>
        <v/>
      </c>
      <c r="P60" s="107" t="str">
        <f t="shared" si="4"/>
        <v/>
      </c>
      <c r="Q60" s="306" t="str">
        <f>IF(J60="","",_xlfn.XLOOKUP(H60,'Emission Factors'!$M:$M,'Emission Factors'!$W:$W))</f>
        <v/>
      </c>
      <c r="R60" s="111"/>
      <c r="S60" s="67"/>
      <c r="T60" s="306" t="str">
        <f t="shared" si="7"/>
        <v/>
      </c>
      <c r="U60" s="306" t="str">
        <f>IF(J60="","",_xlfn.XLOOKUP(H60,'Emission Factors'!$M$432:$M$787,'Emission Factors'!$U$432:$U$787))</f>
        <v/>
      </c>
      <c r="V60" s="310" t="str">
        <f>IF($J60="","",IF(OR($J60="Litre",$J60="Tonne"),_xlfn.XLOOKUP(F60&amp;U60&amp;T60,Conversions!$E$20:$E$104,Conversions!$F$20:$F$104),INDEX(Conversions!$C$4:$I$10,MATCH('V1 - Fuels (Stationary)'!$T60,Conversions!$B$4:$B$10,0),MATCH('V1 - Fuels (Stationary)'!$U60,Conversions!$C$3:$I$3,0))))</f>
        <v/>
      </c>
      <c r="W60" s="310" t="str">
        <f>IF(J60="","",_xlfn.XLOOKUP(H60,'Emission Factors'!$M$432:$M$787,'Emission Factors'!$S$432:$S$787)*V60)</f>
        <v/>
      </c>
      <c r="X60" s="311" t="str">
        <f t="shared" si="8"/>
        <v/>
      </c>
      <c r="Y60" s="110" t="str">
        <f t="shared" si="11"/>
        <v/>
      </c>
      <c r="Z60" s="306" t="str">
        <f>IF(J60="","",_xlfn.XLOOKUP(H60,'Emission Factors'!$M$432:$M$787,'Emission Factors'!$W$432:$W$787))</f>
        <v/>
      </c>
      <c r="AA60" s="67"/>
      <c r="AB60" s="67"/>
      <c r="AC60" s="67"/>
      <c r="AD60" s="151"/>
    </row>
    <row r="61" spans="2:30">
      <c r="B61" s="166"/>
      <c r="C61" s="173"/>
      <c r="D61" s="73"/>
      <c r="E61" s="73"/>
      <c r="F61" s="73"/>
      <c r="G61" s="73"/>
      <c r="H61" s="73"/>
      <c r="I61" s="73"/>
      <c r="J61" s="73"/>
      <c r="K61" s="73"/>
      <c r="L61" s="73"/>
      <c r="M61" s="73"/>
      <c r="N61" s="73"/>
      <c r="O61" s="73"/>
      <c r="P61" s="115"/>
      <c r="Q61" s="73"/>
      <c r="R61" s="73"/>
      <c r="S61" s="67"/>
      <c r="T61" s="67"/>
      <c r="U61" s="67"/>
      <c r="V61" s="67"/>
      <c r="W61" s="67"/>
      <c r="X61" s="67"/>
      <c r="Y61" s="67"/>
      <c r="Z61" s="67"/>
      <c r="AA61" s="67"/>
      <c r="AB61" s="67"/>
      <c r="AC61" s="67"/>
      <c r="AD61" s="151"/>
    </row>
    <row r="62" spans="2:30" ht="15.75">
      <c r="B62" s="166"/>
      <c r="C62" s="173"/>
      <c r="D62" s="312" t="str">
        <f>IF($A$2="English",_xlfn.XLOOKUP($A$24,Descriptions!$A:$A,Descriptions!$B:$B),_xlfn.XLOOKUP($A$24,Descriptions!$A:$A,Descriptions!$C:$C))</f>
        <v>Samanlagt</v>
      </c>
      <c r="E62" s="82"/>
      <c r="F62" s="82"/>
      <c r="G62" s="82"/>
      <c r="H62" s="82"/>
      <c r="I62" s="82"/>
      <c r="J62" s="82"/>
      <c r="K62" s="82"/>
      <c r="L62" s="82"/>
      <c r="M62" s="82"/>
      <c r="N62" s="82"/>
      <c r="O62" s="82"/>
      <c r="P62" s="117">
        <f>SUM($P$31:$P$60)</f>
        <v>0</v>
      </c>
      <c r="Q62" s="82"/>
      <c r="R62" s="82"/>
      <c r="S62" s="118"/>
      <c r="T62" s="119"/>
      <c r="U62" s="119"/>
      <c r="V62" s="119"/>
      <c r="W62" s="119"/>
      <c r="X62" s="119"/>
      <c r="Y62" s="120">
        <f>SUM($Y$31:$Y$60)</f>
        <v>0</v>
      </c>
      <c r="Z62" s="119"/>
      <c r="AA62" s="67"/>
      <c r="AB62" s="67"/>
      <c r="AC62" s="67"/>
      <c r="AD62" s="151"/>
    </row>
    <row r="63" spans="2:30">
      <c r="B63" s="166"/>
      <c r="C63" s="173"/>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1"/>
    </row>
    <row r="64" spans="2:30" hidden="1">
      <c r="B64" s="166"/>
      <c r="C64" s="173"/>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1"/>
    </row>
    <row r="65" spans="2:30" ht="48.6" hidden="1" customHeight="1">
      <c r="B65" s="166"/>
      <c r="C65" s="173"/>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51"/>
    </row>
    <row r="66" spans="2:30" hidden="1">
      <c r="B66" s="166"/>
      <c r="C66" s="173"/>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51"/>
    </row>
    <row r="67" spans="2:30" hidden="1">
      <c r="B67" s="166"/>
      <c r="C67" s="173"/>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51"/>
    </row>
    <row r="68" spans="2:30" hidden="1">
      <c r="B68" s="166"/>
      <c r="C68" s="173"/>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51"/>
    </row>
    <row r="69" spans="2:30" hidden="1">
      <c r="B69" s="166"/>
      <c r="C69" s="173"/>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151"/>
    </row>
    <row r="70" spans="2:30" hidden="1">
      <c r="B70" s="166"/>
      <c r="C70" s="173"/>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151"/>
    </row>
    <row r="71" spans="2:30" hidden="1">
      <c r="B71" s="166"/>
      <c r="C71" s="173"/>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151"/>
    </row>
    <row r="72" spans="2:30" hidden="1">
      <c r="B72" s="166"/>
      <c r="C72" s="173"/>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151"/>
    </row>
    <row r="73" spans="2:30" hidden="1">
      <c r="B73" s="166"/>
      <c r="C73" s="173"/>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51"/>
    </row>
    <row r="74" spans="2:30" hidden="1">
      <c r="B74" s="166"/>
      <c r="C74" s="173"/>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151"/>
    </row>
    <row r="75" spans="2:30" hidden="1">
      <c r="B75" s="166"/>
      <c r="C75" s="173"/>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51"/>
    </row>
    <row r="76" spans="2:30" hidden="1">
      <c r="B76" s="166"/>
      <c r="C76" s="173"/>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51"/>
    </row>
    <row r="77" spans="2:30" hidden="1">
      <c r="B77" s="166"/>
      <c r="C77" s="173"/>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51"/>
    </row>
    <row r="78" spans="2:30" hidden="1">
      <c r="B78" s="166"/>
      <c r="C78" s="173"/>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51"/>
    </row>
    <row r="79" spans="2:30" hidden="1">
      <c r="B79" s="166"/>
      <c r="C79" s="173"/>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51"/>
    </row>
    <row r="80" spans="2:30" hidden="1">
      <c r="B80" s="166"/>
      <c r="C80" s="173"/>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51"/>
    </row>
    <row r="81" spans="2:30" hidden="1">
      <c r="B81" s="166"/>
      <c r="C81" s="173"/>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51"/>
    </row>
    <row r="82" spans="2:30" hidden="1">
      <c r="B82" s="166"/>
      <c r="C82" s="173"/>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51"/>
    </row>
    <row r="83" spans="2:30" hidden="1">
      <c r="B83" s="166"/>
      <c r="C83" s="173"/>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51"/>
    </row>
    <row r="84" spans="2:30" hidden="1">
      <c r="B84" s="166"/>
      <c r="C84" s="173"/>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51"/>
    </row>
    <row r="85" spans="2:30" hidden="1">
      <c r="B85" s="166"/>
      <c r="C85" s="173"/>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51"/>
    </row>
    <row r="86" spans="2:30" hidden="1">
      <c r="B86" s="166"/>
      <c r="C86" s="173"/>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51"/>
    </row>
    <row r="87" spans="2:30" hidden="1">
      <c r="B87" s="166"/>
      <c r="C87" s="173"/>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51"/>
    </row>
    <row r="88" spans="2:30" hidden="1">
      <c r="B88" s="166"/>
      <c r="C88" s="173"/>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51"/>
    </row>
    <row r="89" spans="2:30" hidden="1">
      <c r="B89" s="166"/>
      <c r="C89" s="173"/>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51"/>
    </row>
    <row r="90" spans="2:30" hidden="1">
      <c r="B90" s="166"/>
      <c r="C90" s="173"/>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51"/>
    </row>
    <row r="91" spans="2:30" hidden="1">
      <c r="B91" s="166"/>
      <c r="C91" s="173"/>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51"/>
    </row>
    <row r="92" spans="2:30" hidden="1">
      <c r="B92" s="166"/>
      <c r="C92" s="173"/>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51"/>
    </row>
    <row r="93" spans="2:30" hidden="1">
      <c r="B93" s="166"/>
      <c r="C93" s="173"/>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51"/>
    </row>
    <row r="94" spans="2:30" hidden="1">
      <c r="B94" s="166"/>
      <c r="C94" s="173"/>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51"/>
    </row>
    <row r="95" spans="2:30" hidden="1">
      <c r="B95" s="166"/>
      <c r="C95" s="173"/>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51"/>
    </row>
    <row r="96" spans="2:30" hidden="1">
      <c r="B96" s="166"/>
      <c r="C96" s="173"/>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1"/>
    </row>
    <row r="97" spans="2:30" hidden="1">
      <c r="B97" s="166"/>
      <c r="C97" s="173"/>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51"/>
    </row>
    <row r="98" spans="2:30" hidden="1">
      <c r="B98" s="166"/>
      <c r="C98" s="173"/>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1"/>
    </row>
    <row r="99" spans="2:30" hidden="1">
      <c r="B99" s="166"/>
      <c r="C99" s="173"/>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51"/>
    </row>
    <row r="100" spans="2:30">
      <c r="B100" s="166"/>
      <c r="C100" s="173"/>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1"/>
    </row>
    <row r="101" spans="2:30">
      <c r="B101" s="166"/>
      <c r="C101" s="173"/>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1"/>
    </row>
    <row r="102" spans="2:30">
      <c r="B102" s="166"/>
      <c r="C102" s="17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1"/>
    </row>
    <row r="103" spans="2:30">
      <c r="B103" s="166"/>
      <c r="C103" s="173"/>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1"/>
    </row>
    <row r="104" spans="2:30">
      <c r="B104" s="166"/>
      <c r="C104" s="173"/>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1"/>
    </row>
  </sheetData>
  <sheetProtection algorithmName="SHA-512" hashValue="LcF6mOBKTqt+P6ylFJVCWTkMR+vldQEn9VL4+WxR8rAFV97JTtpAQL1olBFA8FMlg+KPTBRHuhOAEgAw6/GW2w==" saltValue="QPZjzU1bNn1e6+KoW+GOCA==" spinCount="100000" sheet="1" objects="1" scenarios="1"/>
  <mergeCells count="7">
    <mergeCell ref="D29:R29"/>
    <mergeCell ref="T22:Z22"/>
    <mergeCell ref="D4:Z11"/>
    <mergeCell ref="D15:N20"/>
    <mergeCell ref="D14:N14"/>
    <mergeCell ref="D12:Z12"/>
    <mergeCell ref="D22:R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46224C9A-F1AA-4FF2-A00B-1D185B56729F}">
          <x14:formula1>
            <xm:f>Dropdown!$F$3:$F$11</xm:f>
          </x14:formula1>
          <xm:sqref>J24:J25 J31:J60</xm:sqref>
        </x14:dataValidation>
        <x14:dataValidation type="list" allowBlank="1" showInputMessage="1" showErrorMessage="1" xr:uid="{8727697A-B1E5-4341-B4B3-4EE8A0D10F4C}">
          <x14:formula1>
            <xm:f>Dropdown!$J$3:$J$13</xm:f>
          </x14:formula1>
          <xm:sqref>F24:F25 F31:F60</xm:sqref>
        </x14:dataValidation>
        <x14:dataValidation type="list" allowBlank="1" showInputMessage="1" showErrorMessage="1" xr:uid="{3D0C3F1C-8DE8-471F-88BF-AFCC8008F917}">
          <x14:formula1>
            <xm:f>INDIRECT(_xlfn.XLOOKUP(F24,Dropdown!$G$3:$G$39,Dropdown!$H$3:$H$39))</xm:f>
          </x14:formula1>
          <xm:sqref>G24:G25 G31:G60</xm:sqref>
        </x14:dataValidation>
        <x14:dataValidation type="list" allowBlank="1" showInputMessage="1" showErrorMessage="1" xr:uid="{3C745177-4CEA-4130-8442-F9DA3FF495DF}">
          <x14:formula1>
            <xm:f>'Organisation Details'!$G$33:$G$58</xm:f>
          </x14:formula1>
          <xm:sqref>D31:D60</xm:sqref>
        </x14:dataValidation>
        <x14:dataValidation type="list" allowBlank="1" showInputMessage="1" showErrorMessage="1" xr:uid="{7F6ACC6B-721B-4BF6-BFFA-81ECE4835048}">
          <x14:formula1>
            <xm:f>Dropdown!$C$3:$C$7</xm:f>
          </x14:formula1>
          <xm:sqref>D24:D25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4A08-642C-4640-80DA-F8BD44A42DD5}">
  <sheetPr codeName="Sheet6">
    <tabColor theme="9" tint="0.39997558519241921"/>
  </sheetPr>
  <dimension ref="A1:AD104"/>
  <sheetViews>
    <sheetView showGridLines="0" showRowColHeaders="0" topLeftCell="B2" zoomScale="75" zoomScaleNormal="75" workbookViewId="0">
      <selection activeCell="P19" sqref="P19"/>
    </sheetView>
  </sheetViews>
  <sheetFormatPr defaultColWidth="0" defaultRowHeight="14.25" zeroHeight="1"/>
  <cols>
    <col min="1" max="1" width="18" style="71" hidden="1" customWidth="1"/>
    <col min="2" max="2" width="4.28515625" style="71" customWidth="1"/>
    <col min="3" max="3" width="4.7109375" style="178" customWidth="1"/>
    <col min="4" max="4" width="36.28515625" style="71" customWidth="1"/>
    <col min="5" max="5" width="44.28515625" style="71" customWidth="1"/>
    <col min="6" max="6" width="34.140625" style="71" customWidth="1"/>
    <col min="7" max="7" width="36.28515625" style="71" customWidth="1"/>
    <col min="8" max="8" width="28.85546875" style="71" hidden="1" customWidth="1"/>
    <col min="9" max="9" width="23.85546875" style="71" customWidth="1"/>
    <col min="10" max="10" width="12" style="71" customWidth="1"/>
    <col min="11" max="11" width="12" style="71" hidden="1" customWidth="1"/>
    <col min="12" max="12" width="25.28515625" style="71" customWidth="1"/>
    <col min="13" max="13" width="21.28515625" style="71" bestFit="1" customWidth="1"/>
    <col min="14" max="14" width="12" style="71" customWidth="1"/>
    <col min="15" max="15" width="24" style="71" customWidth="1"/>
    <col min="16" max="16" width="30.7109375" style="71" customWidth="1"/>
    <col min="17" max="17" width="130.7109375" style="71" customWidth="1"/>
    <col min="18" max="18" width="43.42578125" style="71" customWidth="1"/>
    <col min="19" max="19" width="14" style="71" customWidth="1"/>
    <col min="20" max="20" width="20.7109375" style="71" customWidth="1"/>
    <col min="21" max="21" width="30.7109375" style="71" customWidth="1"/>
    <col min="22" max="24" width="20.7109375" style="71" customWidth="1"/>
    <col min="25" max="25" width="30.7109375" style="71" customWidth="1"/>
    <col min="26" max="26" width="120.7109375" style="71" customWidth="1"/>
    <col min="27" max="29" width="14" style="71" customWidth="1"/>
    <col min="30" max="30" width="14" style="179" customWidth="1"/>
    <col min="31" max="16384" width="14" style="71" hidden="1"/>
  </cols>
  <sheetData>
    <row r="1" spans="1:30" ht="14.1" hidden="1" customHeight="1">
      <c r="C1" s="71"/>
      <c r="D1" s="166"/>
      <c r="E1" s="166"/>
      <c r="F1" s="166"/>
      <c r="G1" s="166"/>
      <c r="H1" s="166"/>
      <c r="I1" s="166"/>
      <c r="J1" s="166"/>
      <c r="K1" s="166"/>
      <c r="L1" s="166"/>
      <c r="M1" s="166"/>
      <c r="N1" s="166"/>
      <c r="O1" s="166"/>
      <c r="P1" s="166"/>
      <c r="Q1" s="166"/>
      <c r="R1" s="166"/>
      <c r="S1" s="166"/>
      <c r="T1" s="166"/>
      <c r="U1" s="166"/>
      <c r="V1" s="166"/>
      <c r="W1" s="166"/>
      <c r="X1" s="166"/>
      <c r="Y1" s="166"/>
      <c r="Z1" s="166"/>
      <c r="AD1" s="71"/>
    </row>
    <row r="2" spans="1:30" ht="13.5" customHeight="1">
      <c r="A2" s="71" t="str">
        <f>Introduction!$E$14</f>
        <v>Føroyskt</v>
      </c>
      <c r="B2" s="167"/>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row>
    <row r="3" spans="1:30">
      <c r="B3" s="166"/>
      <c r="C3" s="169"/>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1"/>
    </row>
    <row r="4" spans="1:30" ht="5.0999999999999996" customHeight="1">
      <c r="A4" s="168" t="s">
        <v>0</v>
      </c>
      <c r="B4" s="172"/>
      <c r="C4" s="173"/>
      <c r="D4" s="418" t="str">
        <f>IF($A$2="English",_xlfn.XLOOKUP($A$4,Descriptions!$A:$A,Descriptions!$B:$B),_xlfn.XLOOKUP($A$4,Descriptions!$A:$A,Descriptions!$C:$C))</f>
        <v>Føroyskur CO2-roknari. Ár: 2023</v>
      </c>
      <c r="E4" s="418"/>
      <c r="F4" s="418"/>
      <c r="G4" s="418"/>
      <c r="H4" s="418"/>
      <c r="I4" s="418"/>
      <c r="J4" s="418"/>
      <c r="K4" s="418"/>
      <c r="L4" s="418"/>
      <c r="M4" s="418"/>
      <c r="N4" s="418"/>
      <c r="O4" s="418"/>
      <c r="P4" s="418"/>
      <c r="Q4" s="418"/>
      <c r="R4" s="418"/>
      <c r="S4" s="418"/>
      <c r="T4" s="418"/>
      <c r="U4" s="418"/>
      <c r="V4" s="418"/>
      <c r="W4" s="418"/>
      <c r="X4" s="418"/>
      <c r="Y4" s="418"/>
      <c r="Z4" s="418"/>
      <c r="AA4" s="67"/>
      <c r="AB4" s="67"/>
      <c r="AC4" s="67"/>
      <c r="AD4" s="151"/>
    </row>
    <row r="5" spans="1:30" ht="5.0999999999999996" customHeight="1">
      <c r="A5" s="71" t="s">
        <v>197</v>
      </c>
      <c r="B5" s="166"/>
      <c r="C5" s="173"/>
      <c r="D5" s="418"/>
      <c r="E5" s="418"/>
      <c r="F5" s="418"/>
      <c r="G5" s="418"/>
      <c r="H5" s="418"/>
      <c r="I5" s="418"/>
      <c r="J5" s="418"/>
      <c r="K5" s="418"/>
      <c r="L5" s="418"/>
      <c r="M5" s="418"/>
      <c r="N5" s="418"/>
      <c r="O5" s="418"/>
      <c r="P5" s="418"/>
      <c r="Q5" s="418"/>
      <c r="R5" s="418"/>
      <c r="S5" s="418"/>
      <c r="T5" s="418"/>
      <c r="U5" s="418"/>
      <c r="V5" s="418"/>
      <c r="W5" s="418"/>
      <c r="X5" s="418"/>
      <c r="Y5" s="418"/>
      <c r="Z5" s="418"/>
      <c r="AA5" s="67"/>
      <c r="AB5" s="67"/>
      <c r="AC5" s="67"/>
      <c r="AD5" s="151"/>
    </row>
    <row r="6" spans="1:30" ht="5.0999999999999996" customHeight="1">
      <c r="A6" s="71" t="s">
        <v>131</v>
      </c>
      <c r="B6" s="166"/>
      <c r="C6" s="173"/>
      <c r="D6" s="418"/>
      <c r="E6" s="418"/>
      <c r="F6" s="418"/>
      <c r="G6" s="418"/>
      <c r="H6" s="418"/>
      <c r="I6" s="418"/>
      <c r="J6" s="418"/>
      <c r="K6" s="418"/>
      <c r="L6" s="418"/>
      <c r="M6" s="418"/>
      <c r="N6" s="418"/>
      <c r="O6" s="418"/>
      <c r="P6" s="418"/>
      <c r="Q6" s="418"/>
      <c r="R6" s="418"/>
      <c r="S6" s="418"/>
      <c r="T6" s="418"/>
      <c r="U6" s="418"/>
      <c r="V6" s="418"/>
      <c r="W6" s="418"/>
      <c r="X6" s="418"/>
      <c r="Y6" s="418"/>
      <c r="Z6" s="418"/>
      <c r="AA6" s="67"/>
      <c r="AB6" s="67"/>
      <c r="AC6" s="67"/>
      <c r="AD6" s="151"/>
    </row>
    <row r="7" spans="1:30" ht="5.0999999999999996" customHeight="1">
      <c r="A7" s="71" t="s">
        <v>167</v>
      </c>
      <c r="B7" s="166"/>
      <c r="C7" s="173"/>
      <c r="D7" s="418"/>
      <c r="E7" s="418"/>
      <c r="F7" s="418"/>
      <c r="G7" s="418"/>
      <c r="H7" s="418"/>
      <c r="I7" s="418"/>
      <c r="J7" s="418"/>
      <c r="K7" s="418"/>
      <c r="L7" s="418"/>
      <c r="M7" s="418"/>
      <c r="N7" s="418"/>
      <c r="O7" s="418"/>
      <c r="P7" s="418"/>
      <c r="Q7" s="418"/>
      <c r="R7" s="418"/>
      <c r="S7" s="418"/>
      <c r="T7" s="418"/>
      <c r="U7" s="418"/>
      <c r="V7" s="418"/>
      <c r="W7" s="418"/>
      <c r="X7" s="418"/>
      <c r="Y7" s="418"/>
      <c r="Z7" s="418"/>
      <c r="AA7" s="67"/>
      <c r="AB7" s="67"/>
      <c r="AC7" s="67"/>
      <c r="AD7" s="151"/>
    </row>
    <row r="8" spans="1:30" ht="5.0999999999999996" customHeight="1">
      <c r="A8" s="71" t="s">
        <v>198</v>
      </c>
      <c r="B8" s="166"/>
      <c r="C8" s="173"/>
      <c r="D8" s="418"/>
      <c r="E8" s="418"/>
      <c r="F8" s="418"/>
      <c r="G8" s="418"/>
      <c r="H8" s="418"/>
      <c r="I8" s="418"/>
      <c r="J8" s="418"/>
      <c r="K8" s="418"/>
      <c r="L8" s="418"/>
      <c r="M8" s="418"/>
      <c r="N8" s="418"/>
      <c r="O8" s="418"/>
      <c r="P8" s="418"/>
      <c r="Q8" s="418"/>
      <c r="R8" s="418"/>
      <c r="S8" s="418"/>
      <c r="T8" s="418"/>
      <c r="U8" s="418"/>
      <c r="V8" s="418"/>
      <c r="W8" s="418"/>
      <c r="X8" s="418"/>
      <c r="Y8" s="418"/>
      <c r="Z8" s="418"/>
      <c r="AA8" s="67"/>
      <c r="AB8" s="67"/>
      <c r="AC8" s="67"/>
      <c r="AD8" s="151"/>
    </row>
    <row r="9" spans="1:30" ht="5.0999999999999996" customHeight="1">
      <c r="A9" s="71" t="s">
        <v>168</v>
      </c>
      <c r="B9" s="166"/>
      <c r="C9" s="173"/>
      <c r="D9" s="418"/>
      <c r="E9" s="418"/>
      <c r="F9" s="418"/>
      <c r="G9" s="418"/>
      <c r="H9" s="418"/>
      <c r="I9" s="418"/>
      <c r="J9" s="418"/>
      <c r="K9" s="418"/>
      <c r="L9" s="418"/>
      <c r="M9" s="418"/>
      <c r="N9" s="418"/>
      <c r="O9" s="418"/>
      <c r="P9" s="418"/>
      <c r="Q9" s="418"/>
      <c r="R9" s="418"/>
      <c r="S9" s="418"/>
      <c r="T9" s="418"/>
      <c r="U9" s="418"/>
      <c r="V9" s="418"/>
      <c r="W9" s="418"/>
      <c r="X9" s="418"/>
      <c r="Y9" s="418"/>
      <c r="Z9" s="418"/>
      <c r="AA9" s="67"/>
      <c r="AB9" s="67"/>
      <c r="AC9" s="67"/>
      <c r="AD9" s="151"/>
    </row>
    <row r="10" spans="1:30" ht="5.0999999999999996" customHeight="1">
      <c r="A10" s="71" t="s">
        <v>169</v>
      </c>
      <c r="B10" s="166"/>
      <c r="C10" s="173"/>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67"/>
      <c r="AB10" s="67"/>
      <c r="AC10" s="67"/>
      <c r="AD10" s="151"/>
    </row>
    <row r="11" spans="1:30" ht="5.0999999999999996" customHeight="1">
      <c r="A11" s="71" t="s">
        <v>199</v>
      </c>
      <c r="B11" s="166"/>
      <c r="C11" s="173"/>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67"/>
      <c r="AB11" s="67"/>
      <c r="AC11" s="67"/>
      <c r="AD11" s="151"/>
    </row>
    <row r="12" spans="1:30" ht="99.95" customHeight="1">
      <c r="A12" s="71" t="s">
        <v>170</v>
      </c>
      <c r="B12" s="166"/>
      <c r="C12" s="173"/>
      <c r="D12" s="419" t="str">
        <f>IF($A$2="English",_xlfn.XLOOKUP($A$5,Descriptions!$A:$A,Descriptions!$B:$B),_xlfn.XLOOKUP($A$5,Descriptions!$A:$A,Descriptions!$C:$C))</f>
        <v>V1 - Brenning á flytførum eindum</v>
      </c>
      <c r="E12" s="419"/>
      <c r="F12" s="419"/>
      <c r="G12" s="419"/>
      <c r="H12" s="419"/>
      <c r="I12" s="419"/>
      <c r="J12" s="419"/>
      <c r="K12" s="419"/>
      <c r="L12" s="419"/>
      <c r="M12" s="419"/>
      <c r="N12" s="419"/>
      <c r="O12" s="419"/>
      <c r="P12" s="419"/>
      <c r="Q12" s="419"/>
      <c r="R12" s="419"/>
      <c r="S12" s="419"/>
      <c r="T12" s="419"/>
      <c r="U12" s="419"/>
      <c r="V12" s="419"/>
      <c r="W12" s="419"/>
      <c r="X12" s="419"/>
      <c r="Y12" s="419"/>
      <c r="Z12" s="419"/>
      <c r="AA12" s="67"/>
      <c r="AB12" s="67"/>
      <c r="AC12" s="67"/>
      <c r="AD12" s="151"/>
    </row>
    <row r="13" spans="1:30">
      <c r="A13" s="71" t="s">
        <v>171</v>
      </c>
      <c r="B13" s="166"/>
      <c r="C13" s="173"/>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1"/>
    </row>
    <row r="14" spans="1:30" ht="30" customHeight="1">
      <c r="A14" s="71" t="s">
        <v>172</v>
      </c>
      <c r="B14" s="166"/>
      <c r="C14" s="173"/>
      <c r="D14" s="437" t="str">
        <f>IF($A$2="English",_xlfn.XLOOKUP($A$6,Descriptions!$A:$A,Descriptions!$B:$B),_xlfn.XLOOKUP($A$6,Descriptions!$A:$A,Descriptions!$C:$C))</f>
        <v>Vegleiðing</v>
      </c>
      <c r="E14" s="437"/>
      <c r="F14" s="437"/>
      <c r="G14" s="437"/>
      <c r="H14" s="437"/>
      <c r="I14" s="437"/>
      <c r="J14" s="437"/>
      <c r="K14" s="437"/>
      <c r="L14" s="437"/>
      <c r="M14" s="437"/>
      <c r="N14" s="437"/>
      <c r="O14" s="67"/>
      <c r="P14" s="347" t="s">
        <v>126</v>
      </c>
      <c r="Q14" s="67"/>
      <c r="R14" s="67"/>
      <c r="S14" s="67"/>
      <c r="T14" s="67"/>
      <c r="U14" s="67"/>
      <c r="V14" s="67"/>
      <c r="W14" s="67"/>
      <c r="X14" s="67"/>
      <c r="Y14" s="67"/>
      <c r="Z14" s="67"/>
      <c r="AA14" s="67"/>
      <c r="AB14" s="67"/>
      <c r="AC14" s="67"/>
      <c r="AD14" s="151"/>
    </row>
    <row r="15" spans="1:30" ht="14.1" customHeight="1">
      <c r="A15" s="71" t="s">
        <v>173</v>
      </c>
      <c r="B15" s="166"/>
      <c r="C15" s="173"/>
      <c r="D15" s="450" t="str">
        <f>IF($A$2="English",_xlfn.XLOOKUP($A$8,Descriptions!$A:$A,Descriptions!$B:$B),_xlfn.XLOOKUP($A$8,Descriptions!$A:$A,Descriptions!$C:$C))</f>
        <v>Vav 1 - Brennievni (brenning á flytførum eindum) fevnir um nýtslu av brennievni hjá akførum, ið fyritøkan eigur ella leigar, t.d. løttum/tungum akførum, bilum, flogførum, fiskiførum. Hetta fevnir um brennievnisnýtslu í flytførari útgerð, sum letur vakstrarhúsgass út í lofthavið. Brúkarin skal savna dátur um brennievnisnýtslu hjá akførum, ið fyritøkan eigur/leigar.
Kravdar dátur:
• Fasilitetur/ogn og staðseting (har brennievni verður brent)
• Virksemi (har brennievni verður brent í sambandi við)
• Flutningsbólkur
• Brent brennievni
• Nøgd av brennievnni, sum er brent
• Eind fyri brent brennievni
GG:
• Tons = 1000 kg
• Sum lýst í 'Denmarks National Inventory' frágreiðingini koma last- og tangabilar undir tung akfør, meðan vørubilar og húsvognar falla undir løtt akfør. Persónbilar eru lættari enn 3.500 kg. 
• kWh virðini fyri øll brennievni frá 'BEIS 2023 Conversions Factors' eru 'Gross Calorific virði (Gross CV)'.</v>
      </c>
      <c r="E15" s="450"/>
      <c r="F15" s="450"/>
      <c r="G15" s="450"/>
      <c r="H15" s="450"/>
      <c r="I15" s="450"/>
      <c r="J15" s="450"/>
      <c r="K15" s="450"/>
      <c r="L15" s="450"/>
      <c r="M15" s="450"/>
      <c r="N15" s="450"/>
      <c r="O15" s="67"/>
      <c r="P15" s="81" t="str">
        <f>'V1 - Fuels (Stationary)'!P15</f>
        <v>Dátuíkast - Fallmynd</v>
      </c>
      <c r="Q15" s="94"/>
      <c r="R15" s="67"/>
      <c r="S15" s="67"/>
      <c r="T15" s="67"/>
      <c r="U15" s="67"/>
      <c r="V15" s="67"/>
      <c r="W15" s="67"/>
      <c r="X15" s="67"/>
      <c r="Y15" s="67"/>
      <c r="Z15" s="67"/>
      <c r="AA15" s="67"/>
      <c r="AB15" s="67"/>
      <c r="AC15" s="67"/>
      <c r="AD15" s="151"/>
    </row>
    <row r="16" spans="1:30" ht="14.1" customHeight="1">
      <c r="A16" s="71" t="s">
        <v>175</v>
      </c>
      <c r="B16" s="166"/>
      <c r="C16" s="173"/>
      <c r="D16" s="450"/>
      <c r="E16" s="450"/>
      <c r="F16" s="450"/>
      <c r="G16" s="450"/>
      <c r="H16" s="450"/>
      <c r="I16" s="450"/>
      <c r="J16" s="450"/>
      <c r="K16" s="450"/>
      <c r="L16" s="450"/>
      <c r="M16" s="450"/>
      <c r="N16" s="450"/>
      <c r="O16" s="67"/>
      <c r="P16" s="121" t="str">
        <f>'V1 - Fuels (Stationary)'!P16</f>
        <v>Dátuíkast - Tøppa inn</v>
      </c>
      <c r="Q16" s="94"/>
      <c r="R16" s="94"/>
      <c r="S16" s="67"/>
      <c r="T16" s="67"/>
      <c r="U16" s="67"/>
      <c r="V16" s="67"/>
      <c r="W16" s="67"/>
      <c r="X16" s="67"/>
      <c r="Y16" s="67"/>
      <c r="Z16" s="67"/>
      <c r="AA16" s="67"/>
      <c r="AB16" s="67"/>
      <c r="AC16" s="67"/>
      <c r="AD16" s="151"/>
    </row>
    <row r="17" spans="1:30" ht="14.1" customHeight="1">
      <c r="A17" s="71" t="s">
        <v>176</v>
      </c>
      <c r="B17" s="166"/>
      <c r="C17" s="173"/>
      <c r="D17" s="450"/>
      <c r="E17" s="450"/>
      <c r="F17" s="450"/>
      <c r="G17" s="450"/>
      <c r="H17" s="450"/>
      <c r="I17" s="450"/>
      <c r="J17" s="450"/>
      <c r="K17" s="450"/>
      <c r="L17" s="450"/>
      <c r="M17" s="450"/>
      <c r="N17" s="450"/>
      <c r="O17" s="67"/>
      <c r="P17" s="302" t="str">
        <f>'V1 - Fuels (Stationary)'!P17</f>
        <v>Leiting (fastløst)</v>
      </c>
      <c r="Q17" s="94"/>
      <c r="R17" s="94"/>
      <c r="S17" s="67"/>
      <c r="T17" s="67"/>
      <c r="U17" s="67"/>
      <c r="V17" s="67"/>
      <c r="W17" s="67"/>
      <c r="X17" s="67"/>
      <c r="Y17" s="67"/>
      <c r="Z17" s="67"/>
      <c r="AA17" s="67"/>
      <c r="AB17" s="67"/>
      <c r="AC17" s="67"/>
      <c r="AD17" s="151"/>
    </row>
    <row r="18" spans="1:30" ht="14.1" customHeight="1">
      <c r="A18" s="71" t="s">
        <v>177</v>
      </c>
      <c r="B18" s="166"/>
      <c r="C18" s="173"/>
      <c r="D18" s="450"/>
      <c r="E18" s="450"/>
      <c r="F18" s="450"/>
      <c r="G18" s="450"/>
      <c r="H18" s="450"/>
      <c r="I18" s="450"/>
      <c r="J18" s="450"/>
      <c r="K18" s="450"/>
      <c r="L18" s="450"/>
      <c r="M18" s="450"/>
      <c r="N18" s="450"/>
      <c r="O18" s="67"/>
      <c r="P18" s="83" t="str">
        <f>'V1 - Fuels (Stationary)'!P18</f>
        <v>Útrokning</v>
      </c>
      <c r="Q18" s="94"/>
      <c r="R18" s="94"/>
      <c r="S18" s="67"/>
      <c r="T18" s="67"/>
      <c r="U18" s="67"/>
      <c r="V18" s="67"/>
      <c r="W18" s="67"/>
      <c r="X18" s="67"/>
      <c r="Y18" s="67"/>
      <c r="Z18" s="67"/>
      <c r="AA18" s="67"/>
      <c r="AB18" s="67"/>
      <c r="AC18" s="67"/>
      <c r="AD18" s="151"/>
    </row>
    <row r="19" spans="1:30" ht="99.95" customHeight="1">
      <c r="A19" s="71" t="s">
        <v>178</v>
      </c>
      <c r="B19" s="166"/>
      <c r="C19" s="173"/>
      <c r="D19" s="450"/>
      <c r="E19" s="450"/>
      <c r="F19" s="450"/>
      <c r="G19" s="450"/>
      <c r="H19" s="450"/>
      <c r="I19" s="450"/>
      <c r="J19" s="450"/>
      <c r="K19" s="450"/>
      <c r="L19" s="450"/>
      <c r="M19" s="450"/>
      <c r="N19" s="450"/>
      <c r="O19" s="67"/>
      <c r="P19" s="122"/>
      <c r="Q19" s="94"/>
      <c r="R19" s="94"/>
      <c r="S19" s="67"/>
      <c r="T19" s="67"/>
      <c r="U19" s="67"/>
      <c r="V19" s="67"/>
      <c r="W19" s="67"/>
      <c r="X19" s="67"/>
      <c r="Y19" s="67"/>
      <c r="Z19" s="67"/>
      <c r="AA19" s="67"/>
      <c r="AB19" s="67"/>
      <c r="AC19" s="67"/>
      <c r="AD19" s="151"/>
    </row>
    <row r="20" spans="1:30" ht="99.95" customHeight="1">
      <c r="A20" s="71" t="s">
        <v>179</v>
      </c>
      <c r="B20" s="166"/>
      <c r="C20" s="173"/>
      <c r="D20" s="450"/>
      <c r="E20" s="450"/>
      <c r="F20" s="450"/>
      <c r="G20" s="450"/>
      <c r="H20" s="450"/>
      <c r="I20" s="450"/>
      <c r="J20" s="450"/>
      <c r="K20" s="450"/>
      <c r="L20" s="450"/>
      <c r="M20" s="450"/>
      <c r="N20" s="450"/>
      <c r="O20" s="67"/>
      <c r="P20" s="67"/>
      <c r="Q20" s="94"/>
      <c r="R20" s="94"/>
      <c r="S20" s="67"/>
      <c r="T20" s="67"/>
      <c r="U20" s="67"/>
      <c r="V20" s="67"/>
      <c r="W20" s="67"/>
      <c r="X20" s="67"/>
      <c r="Y20" s="67"/>
      <c r="Z20" s="67"/>
      <c r="AA20" s="67"/>
      <c r="AB20" s="67"/>
      <c r="AC20" s="67"/>
      <c r="AD20" s="151"/>
    </row>
    <row r="21" spans="1:30" ht="15.6" customHeight="1">
      <c r="A21" s="71" t="s">
        <v>180</v>
      </c>
      <c r="B21" s="166"/>
      <c r="C21" s="173"/>
      <c r="D21" s="67"/>
      <c r="E21" s="67"/>
      <c r="F21" s="67"/>
      <c r="G21" s="67"/>
      <c r="H21" s="67"/>
      <c r="I21" s="67"/>
      <c r="J21" s="67"/>
      <c r="K21" s="67"/>
      <c r="L21" s="67"/>
      <c r="M21" s="67"/>
      <c r="N21" s="67"/>
      <c r="O21" s="67"/>
      <c r="P21" s="67"/>
      <c r="Q21" s="67"/>
      <c r="R21" s="67"/>
      <c r="S21" s="67"/>
      <c r="AA21" s="67"/>
      <c r="AB21" s="67"/>
      <c r="AC21" s="67"/>
      <c r="AD21" s="151"/>
    </row>
    <row r="22" spans="1:30" ht="30" customHeight="1">
      <c r="A22" s="71" t="s">
        <v>181</v>
      </c>
      <c r="B22" s="166"/>
      <c r="C22" s="173"/>
      <c r="D22" s="438" t="str">
        <f>IF($A$2="English",_xlfn.XLOOKUP($A$7,Descriptions!$A:$A,Descriptions!$B:$B),_xlfn.XLOOKUP($A$7,Descriptions!$A:$A,Descriptions!$C:$C))</f>
        <v>Dømi</v>
      </c>
      <c r="E22" s="438"/>
      <c r="F22" s="438"/>
      <c r="G22" s="438"/>
      <c r="H22" s="438"/>
      <c r="I22" s="438"/>
      <c r="J22" s="438"/>
      <c r="K22" s="438"/>
      <c r="L22" s="438"/>
      <c r="M22" s="438"/>
      <c r="N22" s="438"/>
      <c r="O22" s="438"/>
      <c r="P22" s="438"/>
      <c r="Q22" s="438"/>
      <c r="R22" s="438"/>
      <c r="S22" s="67"/>
      <c r="T22" s="437" t="str">
        <f>IF($A$2="English",_xlfn.XLOOKUP($A$25,Descriptions!$A:$A,Descriptions!$B:$B),_xlfn.XLOOKUP($A$25,Descriptions!$A:$A,Descriptions!$C:$C))</f>
        <v>Vav 3 - Virksemi tengt at brennievni og orku</v>
      </c>
      <c r="U22" s="437"/>
      <c r="V22" s="437"/>
      <c r="W22" s="437"/>
      <c r="X22" s="437"/>
      <c r="Y22" s="437"/>
      <c r="Z22" s="437"/>
      <c r="AA22" s="67"/>
      <c r="AB22" s="67"/>
      <c r="AC22" s="67"/>
      <c r="AD22" s="151"/>
    </row>
    <row r="23" spans="1:30" ht="30" customHeight="1">
      <c r="A23" s="71" t="s">
        <v>182</v>
      </c>
      <c r="B23" s="166"/>
      <c r="C23" s="173"/>
      <c r="D23" s="307" t="str">
        <f>IF($A$2="English",_xlfn.XLOOKUP($A$9,Descriptions!$A:$A,Descriptions!$B:$B),_xlfn.XLOOKUP($A$9,Descriptions!$A:$A,Descriptions!$C:$C))</f>
        <v>Fasilitetur/Ogn og staðseting</v>
      </c>
      <c r="E23" s="307" t="str">
        <f>IF($A$2="English",_xlfn.XLOOKUP($A$10,Descriptions!$A:$A,Descriptions!$B:$B),_xlfn.XLOOKUP($A$10,Descriptions!$A:$A,Descriptions!$C:$C))</f>
        <v>Virksemi</v>
      </c>
      <c r="F23" s="307" t="str">
        <f>IF($A$2="English",_xlfn.XLOOKUP($A$11,Descriptions!$A:$A,Descriptions!$B:$B),_xlfn.XLOOKUP($A$11,Descriptions!$A:$A,Descriptions!$C:$C))</f>
        <v>Flutningsbólkur</v>
      </c>
      <c r="G23" s="307" t="str">
        <f>IF($A$2="English",_xlfn.XLOOKUP($A$12,Descriptions!$A:$A,Descriptions!$B:$B),_xlfn.XLOOKUP($A$12,Descriptions!$A:$A,Descriptions!$C:$C))</f>
        <v>Brent brennievni</v>
      </c>
      <c r="H23" s="307" t="s">
        <v>185</v>
      </c>
      <c r="I23" s="307" t="str">
        <f>IF($A$2="English",_xlfn.XLOOKUP($A$15,Descriptions!$A:$A,Descriptions!$B:$B),_xlfn.XLOOKUP($A$15,Descriptions!$A:$A,Descriptions!$C:$C))</f>
        <v>Nøgd</v>
      </c>
      <c r="J23" s="307" t="str">
        <f>IF($A$2="English",_xlfn.XLOOKUP($A$16,Descriptions!$A:$A,Descriptions!$B:$B),_xlfn.XLOOKUP($A$16,Descriptions!$A:$A,Descriptions!$C:$C))</f>
        <v>Eindir</v>
      </c>
      <c r="K23" s="307" t="s">
        <v>186</v>
      </c>
      <c r="L23" s="307" t="s">
        <v>187</v>
      </c>
      <c r="M23" s="307" t="s">
        <v>188</v>
      </c>
      <c r="N23" s="307" t="str">
        <f>IF($A$2="English",_xlfn.XLOOKUP($A$20,Descriptions!$A:$A,Descriptions!$B:$B),_xlfn.XLOOKUP($A$20,Descriptions!$A:$A,Descriptions!$C:$C))</f>
        <v>Útlátsfaktorur</v>
      </c>
      <c r="O23" s="307" t="str">
        <f>IF($A$2="English",_xlfn.XLOOKUP($A$21,Descriptions!$A:$A,Descriptions!$B:$B),_xlfn.XLOOKUP($A$21,Descriptions!$A:$A,Descriptions!$C:$C))</f>
        <v>Útlátsfaktorur Eind</v>
      </c>
      <c r="P23" s="307" t="str">
        <f>IF($A$2="English",_xlfn.XLOOKUP($A$22,Descriptions!$A:$A,Descriptions!$B:$B),_xlfn.XLOOKUP($A$22,Descriptions!$A:$A,Descriptions!$C:$C))</f>
        <v>Útlát av vakstrarhúsgassi (tons av CO2e)</v>
      </c>
      <c r="Q23" s="307" t="str">
        <f>IF($A$2="English",_xlfn.XLOOKUP($A$23,Descriptions!$A:$A,Descriptions!$B:$B),_xlfn.XLOOKUP($A$23,Descriptions!$A:$A,Descriptions!$C:$C))</f>
        <v>Kelda Útlátsfaktorur</v>
      </c>
      <c r="R23" s="307" t="str">
        <f>IF($A$2="English",_xlfn.XLOOKUP($A$23,Descriptions!$A:$A,Descriptions!$B:$B),_xlfn.XLOOKUP($A$23,Descriptions!$A:$A,Descriptions!$C:$C))</f>
        <v>Kelda Útlátsfaktorur</v>
      </c>
      <c r="S23" s="67"/>
      <c r="T23" s="378" t="s">
        <v>186</v>
      </c>
      <c r="U23" s="378" t="s">
        <v>187</v>
      </c>
      <c r="V23" s="378" t="s">
        <v>188</v>
      </c>
      <c r="W23" s="378" t="str">
        <f>IF($A$2="English",_xlfn.XLOOKUP($A$20,Descriptions!$A:$A,Descriptions!$B:$B),_xlfn.XLOOKUP($A$20,Descriptions!$A:$A,Descriptions!$C:$C))</f>
        <v>Útlátsfaktorur</v>
      </c>
      <c r="X23" s="378" t="str">
        <f>IF($A$2="English",_xlfn.XLOOKUP($A$21,Descriptions!$A:$A,Descriptions!$B:$B),_xlfn.XLOOKUP($A$21,Descriptions!$A:$A,Descriptions!$C:$C))</f>
        <v>Útlátsfaktorur Eind</v>
      </c>
      <c r="Y23" s="378" t="str">
        <f>IF($A$2="English",_xlfn.XLOOKUP($A$22,Descriptions!$A:$A,Descriptions!$B:$B),_xlfn.XLOOKUP($A$22,Descriptions!$A:$A,Descriptions!$C:$C))</f>
        <v>Útlát av vakstrarhúsgassi (tons av CO2e)</v>
      </c>
      <c r="Z23" s="378" t="str">
        <f>R23</f>
        <v>Kelda Útlátsfaktorur</v>
      </c>
      <c r="AA23" s="67"/>
      <c r="AB23" s="67"/>
      <c r="AC23" s="67"/>
      <c r="AD23" s="151"/>
    </row>
    <row r="24" spans="1:30">
      <c r="A24" s="71" t="s">
        <v>183</v>
      </c>
      <c r="B24" s="166"/>
      <c r="C24" s="173"/>
      <c r="D24" s="162" t="s">
        <v>200</v>
      </c>
      <c r="E24" s="124" t="s">
        <v>201</v>
      </c>
      <c r="F24" s="125" t="s">
        <v>202</v>
      </c>
      <c r="G24" s="125" t="s">
        <v>203</v>
      </c>
      <c r="H24" s="108" t="str">
        <f>G24&amp;F24</f>
        <v>DieselLight duty vehicles</v>
      </c>
      <c r="I24" s="126">
        <v>11984</v>
      </c>
      <c r="J24" s="125" t="s">
        <v>204</v>
      </c>
      <c r="K24" s="108" t="str">
        <f t="shared" ref="K24:K25" si="0">IF(J24="","",J24)</f>
        <v>kWh</v>
      </c>
      <c r="L24" s="306" t="str">
        <f>IF(J24="","",_xlfn.XLOOKUP(H24,'Emission Factors'!$M$71:$M$131,'Emission Factors'!$U$71:$U$131))</f>
        <v>GJ</v>
      </c>
      <c r="M24" s="326">
        <f>IF($J24="","",IF(OR($J24="Litre",$J24="Tonne"),_xlfn.XLOOKUP(G24&amp;L24&amp;K24,Conversions!$E$20:$E$104,Conversions!$F$20:$F$104),INDEX(Conversions!$C$4:$I$10,MATCH('V1 - Fuels (Mobile)'!$K24,Conversions!$B$4:$B$10,0),MATCH('V1 - Fuels (Mobile)'!$L24,Conversions!$C$3:$I$3,0))))</f>
        <v>3.5999999999999999E-3</v>
      </c>
      <c r="N24" s="310">
        <f>IF(J24="","",_xlfn.XLOOKUP(H24,'Emission Factors'!$M$71:$M$131,'Emission Factors'!$T$71:$T$131)*M24)</f>
        <v>0.26827034399999994</v>
      </c>
      <c r="O24" s="311" t="str">
        <f t="shared" ref="O24:O25" si="1">IF(J24="","","kgCO2e/"&amp;K24)</f>
        <v>kgCO2e/kWh</v>
      </c>
      <c r="P24" s="128">
        <f t="shared" ref="P24:P25" si="2">IF(ISBLANK(I24)=TRUE,"",IF(ISBLANK(N24)=TRUE,"",I24*N24)/1000)</f>
        <v>3.2149518024959995</v>
      </c>
      <c r="Q24" s="306" t="str">
        <f>IF(J24="","",_xlfn.XLOOKUP(H24,'Emission Factors'!$M:$M,'Emission Factors'!$W:$W))</f>
        <v>Denmark National Inventory Report (2022)</v>
      </c>
      <c r="R24" s="379"/>
      <c r="S24" s="67"/>
      <c r="T24" s="303" t="str">
        <f>K24</f>
        <v>kWh</v>
      </c>
      <c r="U24" s="303" t="str">
        <f>IF(J24="","",_xlfn.XLOOKUP(H24,'Emission Factors'!$M$432:$M$787,'Emission Factors'!$U$432:$U$787))</f>
        <v>kWh</v>
      </c>
      <c r="V24" s="309">
        <f>IF($J24="","",IF(OR($J24="Litre",$J24="Tonne"),_xlfn.XLOOKUP(G24&amp;U24&amp;T24,Conversions!$E$20:$E$104,Conversions!$F$20:$F$104),INDEX(Conversions!$C$4:$I$10,MATCH('V1 - Fuels (Mobile)'!$T24,Conversions!$B$4:$B$10,0),MATCH('V1 - Fuels (Mobile)'!$U24,Conversions!$C$3:$I$3,0))))</f>
        <v>1</v>
      </c>
      <c r="W24" s="309">
        <f>IF(J24="","",_xlfn.XLOOKUP(H24,'Emission Factors'!$M$432:$M$787,'Emission Factors'!$S$432:$S$787)*V24)</f>
        <v>5.8880000000000002E-2</v>
      </c>
      <c r="X24" s="305" t="str">
        <f>IF(J24="","","kgCO2e/"&amp;T24)</f>
        <v>kgCO2e/kWh</v>
      </c>
      <c r="Y24" s="129">
        <f>IF(ISBLANK(I24)=TRUE,"",IF(ISBLANK(W24)=TRUE,"",I24*W24)/1000)</f>
        <v>0.70561792000000001</v>
      </c>
      <c r="Z24" s="303" t="str">
        <f>IF(J24="","",_xlfn.XLOOKUP(H24,'Emission Factors'!$M$432:$M$787,'Emission Factors'!$W$432:$W$787))</f>
        <v xml:space="preserve">UK Government (BEIS) Greenhouse gas reporting: conversion factors (2023) - WTT - Fuels - Liquid fuels - Diesel (100% mineral diesel) </v>
      </c>
      <c r="AA24" s="67"/>
      <c r="AB24" s="67"/>
      <c r="AC24" s="67"/>
      <c r="AD24" s="151"/>
    </row>
    <row r="25" spans="1:30">
      <c r="A25" s="71" t="s">
        <v>184</v>
      </c>
      <c r="B25" s="166"/>
      <c r="C25" s="173"/>
      <c r="D25" s="162" t="s">
        <v>189</v>
      </c>
      <c r="E25" s="124" t="s">
        <v>205</v>
      </c>
      <c r="F25" s="125" t="s">
        <v>206</v>
      </c>
      <c r="G25" s="125" t="s">
        <v>207</v>
      </c>
      <c r="H25" s="108" t="str">
        <f>G25&amp;F25</f>
        <v>GasolineHeavy duty vehicles</v>
      </c>
      <c r="I25" s="126">
        <v>1510</v>
      </c>
      <c r="J25" s="125" t="s">
        <v>204</v>
      </c>
      <c r="K25" s="108" t="str">
        <f t="shared" si="0"/>
        <v>kWh</v>
      </c>
      <c r="L25" s="306" t="str">
        <f>IF(J25="","",_xlfn.XLOOKUP(H25,'Emission Factors'!$M$71:$M$131,'Emission Factors'!$U$71:$U$131))</f>
        <v>GJ</v>
      </c>
      <c r="M25" s="326">
        <f>IF($J25="","",IF(OR($J25="Litre",$J25="Tonne"),_xlfn.XLOOKUP(G25&amp;L25&amp;K25,Conversions!$E$20:$E$104,Conversions!$F$20:$F$104),INDEX(Conversions!$C$4:$I$10,MATCH('V1 - Fuels (Mobile)'!$K25,Conversions!$B$4:$B$10,0),MATCH('V1 - Fuels (Mobile)'!$L25,Conversions!$C$3:$I$3,0))))</f>
        <v>3.5999999999999999E-3</v>
      </c>
      <c r="N25" s="310">
        <f>IF(J25="","",_xlfn.XLOOKUP(H25,'Emission Factors'!$M$71:$M$131,'Emission Factors'!$T$71:$T$131)*M25)</f>
        <v>0.26545417199999999</v>
      </c>
      <c r="O25" s="311" t="str">
        <f t="shared" si="1"/>
        <v>kgCO2e/kWh</v>
      </c>
      <c r="P25" s="128">
        <f t="shared" si="2"/>
        <v>0.40083579971999994</v>
      </c>
      <c r="Q25" s="306" t="str">
        <f>IF(J25="","",_xlfn.XLOOKUP(H25,'Emission Factors'!$M:$M,'Emission Factors'!$W:$W))</f>
        <v>Denmark National Inventory Report (2022)</v>
      </c>
      <c r="R25" s="379"/>
      <c r="S25" s="67"/>
      <c r="T25" s="303" t="str">
        <f t="shared" ref="T25" si="3">K25</f>
        <v>kWh</v>
      </c>
      <c r="U25" s="303" t="str">
        <f>IF(J25="","",_xlfn.XLOOKUP(H25,'Emission Factors'!$M$432:$M$787,'Emission Factors'!$U$432:$U$787))</f>
        <v>kWh</v>
      </c>
      <c r="V25" s="309">
        <f>IF($J25="","",IF(OR($J25="Litre",$J25="Tonne"),_xlfn.XLOOKUP(G25&amp;U25&amp;T25,Conversions!$E$20:$E$104,Conversions!$F$20:$F$104),INDEX(Conversions!$C$4:$I$10,MATCH('V1 - Fuels (Mobile)'!$T25,Conversions!$B$4:$B$10,0),MATCH('V1 - Fuels (Mobile)'!$U25,Conversions!$C$3:$I$3,0))))</f>
        <v>1</v>
      </c>
      <c r="W25" s="309">
        <f>IF(J25="","",_xlfn.XLOOKUP(H25,'Emission Factors'!$M$432:$M$787,'Emission Factors'!$S$432:$S$787)*V25)</f>
        <v>6.2239999999999997E-2</v>
      </c>
      <c r="X25" s="305" t="str">
        <f t="shared" ref="X25" si="4">IF(J25="","","kgCO2e/"&amp;T25)</f>
        <v>kgCO2e/kWh</v>
      </c>
      <c r="Y25" s="129">
        <f>IF(ISBLANK(I25)=TRUE,"",IF(ISBLANK(W25)=TRUE,"",I25*W25)/1000)</f>
        <v>9.3982399999999994E-2</v>
      </c>
      <c r="Z25" s="303" t="str">
        <f>IF(J25="","",_xlfn.XLOOKUP(H25,'Emission Factors'!$M$432:$M$787,'Emission Factors'!$W$432:$W$787))</f>
        <v xml:space="preserve">UK Government (BEIS) Greenhouse gas reporting: conversion factors (2023) - WTT - Fuels - Liquid fuels - Petrol (100% mineral petrol) </v>
      </c>
      <c r="AA25" s="67"/>
      <c r="AB25" s="67"/>
      <c r="AC25" s="67"/>
      <c r="AD25" s="151"/>
    </row>
    <row r="26" spans="1:30">
      <c r="A26" s="71" t="s">
        <v>146</v>
      </c>
      <c r="B26" s="166"/>
      <c r="C26" s="173"/>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1"/>
    </row>
    <row r="27" spans="1:30" ht="15.6" customHeight="1">
      <c r="A27" s="71" t="s">
        <v>115</v>
      </c>
      <c r="B27" s="166"/>
      <c r="C27" s="173"/>
      <c r="D27" s="336" t="str">
        <f>'Organisation Details'!I24</f>
        <v>Fyritøka</v>
      </c>
      <c r="E27" s="10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1"/>
    </row>
    <row r="28" spans="1:30" ht="17.25" customHeight="1">
      <c r="A28" s="71" t="s">
        <v>208</v>
      </c>
      <c r="B28" s="166"/>
      <c r="C28" s="173"/>
      <c r="D28" s="67"/>
      <c r="E28" s="67"/>
      <c r="F28" s="67"/>
      <c r="G28" s="67"/>
      <c r="H28" s="67"/>
      <c r="I28" s="67"/>
      <c r="J28" s="67"/>
      <c r="K28" s="67"/>
      <c r="L28" s="67"/>
      <c r="M28" s="67"/>
      <c r="N28" s="67"/>
      <c r="O28" s="67"/>
      <c r="P28" s="94"/>
      <c r="Q28" s="67"/>
      <c r="R28" s="67"/>
      <c r="S28" s="67"/>
      <c r="T28" s="67"/>
      <c r="U28" s="67"/>
      <c r="V28" s="67"/>
      <c r="W28" s="67"/>
      <c r="X28" s="67"/>
      <c r="Y28" s="67"/>
      <c r="Z28" s="67"/>
      <c r="AA28" s="67"/>
      <c r="AB28" s="67"/>
      <c r="AC28" s="67"/>
      <c r="AD28" s="151"/>
    </row>
    <row r="29" spans="1:30" ht="30" customHeight="1">
      <c r="B29" s="166"/>
      <c r="C29" s="173"/>
      <c r="D29" s="449" t="s">
        <v>115</v>
      </c>
      <c r="E29" s="449"/>
      <c r="F29" s="449"/>
      <c r="G29" s="449"/>
      <c r="H29" s="449"/>
      <c r="I29" s="449"/>
      <c r="J29" s="449"/>
      <c r="K29" s="449"/>
      <c r="L29" s="449"/>
      <c r="M29" s="449"/>
      <c r="N29" s="449"/>
      <c r="O29" s="449"/>
      <c r="P29" s="449"/>
      <c r="Q29" s="449"/>
      <c r="R29" s="449"/>
      <c r="S29" s="67"/>
      <c r="T29" s="67"/>
      <c r="U29" s="67"/>
      <c r="V29" s="67"/>
      <c r="W29" s="67"/>
      <c r="X29" s="67"/>
      <c r="Y29" s="67"/>
      <c r="Z29" s="67"/>
      <c r="AA29" s="67"/>
      <c r="AB29" s="67"/>
      <c r="AC29" s="67"/>
      <c r="AD29" s="151"/>
    </row>
    <row r="30" spans="1:30" ht="30" customHeight="1">
      <c r="B30" s="166"/>
      <c r="C30" s="173"/>
      <c r="D30" s="307" t="str">
        <f>D23</f>
        <v>Fasilitetur/Ogn og staðseting</v>
      </c>
      <c r="E30" s="307" t="str">
        <f t="shared" ref="E30:R30" si="5">E23</f>
        <v>Virksemi</v>
      </c>
      <c r="F30" s="307" t="str">
        <f t="shared" si="5"/>
        <v>Flutningsbólkur</v>
      </c>
      <c r="G30" s="307" t="str">
        <f t="shared" si="5"/>
        <v>Brent brennievni</v>
      </c>
      <c r="H30" s="307" t="str">
        <f t="shared" si="5"/>
        <v>Concat</v>
      </c>
      <c r="I30" s="307" t="str">
        <f>I23</f>
        <v>Nøgd</v>
      </c>
      <c r="J30" s="307" t="str">
        <f t="shared" si="5"/>
        <v>Eindir</v>
      </c>
      <c r="K30" s="307" t="str">
        <f t="shared" si="5"/>
        <v>Input Unit</v>
      </c>
      <c r="L30" s="307" t="str">
        <f t="shared" si="5"/>
        <v>Source Emission Factor Unit</v>
      </c>
      <c r="M30" s="307" t="str">
        <f t="shared" si="5"/>
        <v>Conversion Factor</v>
      </c>
      <c r="N30" s="307" t="str">
        <f t="shared" si="5"/>
        <v>Útlátsfaktorur</v>
      </c>
      <c r="O30" s="307" t="str">
        <f t="shared" si="5"/>
        <v>Útlátsfaktorur Eind</v>
      </c>
      <c r="P30" s="307" t="str">
        <f t="shared" si="5"/>
        <v>Útlát av vakstrarhúsgassi (tons av CO2e)</v>
      </c>
      <c r="Q30" s="307" t="str">
        <f t="shared" si="5"/>
        <v>Kelda Útlátsfaktorur</v>
      </c>
      <c r="R30" s="307" t="str">
        <f t="shared" si="5"/>
        <v>Kelda Útlátsfaktorur</v>
      </c>
      <c r="S30" s="67"/>
      <c r="T30" s="308" t="str">
        <f>T23</f>
        <v>Input Unit</v>
      </c>
      <c r="U30" s="308" t="str">
        <f t="shared" ref="U30:Z30" si="6">U23</f>
        <v>Source Emission Factor Unit</v>
      </c>
      <c r="V30" s="308" t="str">
        <f t="shared" si="6"/>
        <v>Conversion Factor</v>
      </c>
      <c r="W30" s="308" t="str">
        <f t="shared" si="6"/>
        <v>Útlátsfaktorur</v>
      </c>
      <c r="X30" s="308" t="str">
        <f t="shared" si="6"/>
        <v>Útlátsfaktorur Eind</v>
      </c>
      <c r="Y30" s="308" t="str">
        <f t="shared" si="6"/>
        <v>Útlát av vakstrarhúsgassi (tons av CO2e)</v>
      </c>
      <c r="Z30" s="308" t="str">
        <f t="shared" si="6"/>
        <v>Kelda Útlátsfaktorur</v>
      </c>
      <c r="AA30" s="67"/>
      <c r="AB30" s="67"/>
      <c r="AC30" s="67"/>
      <c r="AD30" s="151"/>
    </row>
    <row r="31" spans="1:30">
      <c r="B31" s="166"/>
      <c r="C31" s="173"/>
      <c r="D31" s="123"/>
      <c r="E31" s="130"/>
      <c r="F31" s="131"/>
      <c r="G31" s="131"/>
      <c r="H31" s="132" t="str">
        <f t="shared" ref="H31:H60" si="7">G31&amp;F31</f>
        <v/>
      </c>
      <c r="I31" s="133"/>
      <c r="J31" s="131"/>
      <c r="K31" s="108" t="str">
        <f t="shared" ref="K31:K37" si="8">IF(J31="","",J31)</f>
        <v/>
      </c>
      <c r="L31" s="306" t="str">
        <f>IF(J31="","",_xlfn.XLOOKUP(H31,'Emission Factors'!$M$71:$M$131,'Emission Factors'!$U$71:$U$131))</f>
        <v/>
      </c>
      <c r="M31" s="326" t="str">
        <f>IF($J31="","",IF(OR($J31="Litre",$J31="Tonne"),_xlfn.XLOOKUP(G31&amp;L31&amp;K31,Conversions!$E$20:$E$104,Conversions!$F$20:$F$104),INDEX(Conversions!$C$4:$I$10,MATCH('V1 - Fuels (Mobile)'!$K31,Conversions!$B$4:$B$10,0),MATCH('V1 - Fuels (Mobile)'!$L31,Conversions!$C$3:$I$3,0))))</f>
        <v/>
      </c>
      <c r="N31" s="310" t="str">
        <f>IF(J31="","",_xlfn.XLOOKUP(H31,'Emission Factors'!$M$71:$M$131,'Emission Factors'!$T$71:$T$131)*M31)</f>
        <v/>
      </c>
      <c r="O31" s="311" t="str">
        <f>IF(J31="","","kgCO2e/"&amp;K31)</f>
        <v/>
      </c>
      <c r="P31" s="134" t="str">
        <f>IF(ISBLANK(I31)=TRUE,"",IF(ISBLANK(N31)=TRUE,"",I31*N31)/1000)</f>
        <v/>
      </c>
      <c r="Q31" s="306" t="str">
        <f>IF(J31="","",_xlfn.XLOOKUP(H31,'Emission Factors'!$M:$M,'Emission Factors'!$W:$W))</f>
        <v/>
      </c>
      <c r="R31" s="135"/>
      <c r="S31" s="67"/>
      <c r="T31" s="303" t="str">
        <f>K31</f>
        <v/>
      </c>
      <c r="U31" s="303" t="str">
        <f>IF(J31="","",_xlfn.XLOOKUP(H31,'Emission Factors'!$M$432:$M$787,'Emission Factors'!$U$432:$U$787))</f>
        <v/>
      </c>
      <c r="V31" s="309" t="str">
        <f>IF($J31="","",IF(OR($J31="Litre",$J31="Tonne"),_xlfn.XLOOKUP(G31&amp;U31&amp;T31,Conversions!$E$20:$E$104,Conversions!$F$20:$F$104),INDEX(Conversions!$C$4:$I$10,MATCH('V1 - Fuels (Mobile)'!$T31,Conversions!$B$4:$B$10,0),MATCH('V1 - Fuels (Mobile)'!$U31,Conversions!$C$3:$I$3,0))))</f>
        <v/>
      </c>
      <c r="W31" s="309" t="str">
        <f>IF(J31="","",_xlfn.XLOOKUP(H31,'Emission Factors'!$M$432:$M$787,'Emission Factors'!$S$432:$S$787)*V31)</f>
        <v/>
      </c>
      <c r="X31" s="305" t="str">
        <f>IF(J31="","","kgCO2e/"&amp;T31)</f>
        <v/>
      </c>
      <c r="Y31" s="129" t="str">
        <f>IF(ISBLANK(I31)=TRUE,"",IF(ISBLANK(W31)=TRUE,"",I31*W31)/1000)</f>
        <v/>
      </c>
      <c r="Z31" s="303" t="str">
        <f>IF(J31="","",_xlfn.XLOOKUP(H31,'Emission Factors'!$M$432:$M$787,'Emission Factors'!$W$432:$W$787))</f>
        <v/>
      </c>
      <c r="AA31" s="67"/>
      <c r="AB31" s="67"/>
      <c r="AC31" s="67"/>
      <c r="AD31" s="151"/>
    </row>
    <row r="32" spans="1:30">
      <c r="B32" s="166"/>
      <c r="C32" s="173"/>
      <c r="D32" s="123"/>
      <c r="E32" s="136"/>
      <c r="F32" s="131"/>
      <c r="G32" s="131"/>
      <c r="H32" s="132" t="str">
        <f t="shared" si="7"/>
        <v/>
      </c>
      <c r="I32" s="133"/>
      <c r="J32" s="131"/>
      <c r="K32" s="108" t="str">
        <f t="shared" si="8"/>
        <v/>
      </c>
      <c r="L32" s="306" t="str">
        <f>IF(J32="","",_xlfn.XLOOKUP(H32,'Emission Factors'!$M$71:$M$131,'Emission Factors'!$U$71:$U$131))</f>
        <v/>
      </c>
      <c r="M32" s="326" t="str">
        <f>IF($J32="","",IF(OR($J32="Litre",$J32="Tonne"),_xlfn.XLOOKUP(G32&amp;L32&amp;K32,Conversions!$E$20:$E$104,Conversions!$F$20:$F$104),INDEX(Conversions!$C$4:$I$10,MATCH('V1 - Fuels (Mobile)'!$K32,Conversions!$B$4:$B$10,0),MATCH('V1 - Fuels (Mobile)'!$L32,Conversions!$C$3:$I$3,0))))</f>
        <v/>
      </c>
      <c r="N32" s="310" t="str">
        <f>IF(J32="","",_xlfn.XLOOKUP(H32,'Emission Factors'!$M$71:$M$131,'Emission Factors'!$T$71:$T$131)*M32)</f>
        <v/>
      </c>
      <c r="O32" s="311" t="str">
        <f>IF(J32="","","kgCO2e/"&amp;K32)</f>
        <v/>
      </c>
      <c r="P32" s="134" t="str">
        <f t="shared" ref="P32:P33" si="9">IF(ISBLANK(I32)=TRUE,"",IF(ISBLANK(N32)=TRUE,"",I32*N32)/1000)</f>
        <v/>
      </c>
      <c r="Q32" s="306" t="str">
        <f>IF(J32="","",_xlfn.XLOOKUP(H32,'Emission Factors'!$M:$M,'Emission Factors'!$W:$W))</f>
        <v/>
      </c>
      <c r="R32" s="136"/>
      <c r="S32" s="67"/>
      <c r="T32" s="303" t="str">
        <f t="shared" ref="T32:T60" si="10">K32</f>
        <v/>
      </c>
      <c r="U32" s="303" t="str">
        <f>IF(J32="","",_xlfn.XLOOKUP(H32,'Emission Factors'!$M$432:$M$787,'Emission Factors'!$U$432:$U$787))</f>
        <v/>
      </c>
      <c r="V32" s="309" t="str">
        <f>IF($J32="","",IF(OR($J32="Litre",$J32="Tonne"),_xlfn.XLOOKUP(G32&amp;U32&amp;T32,Conversions!$E$20:$E$104,Conversions!$F$20:$F$104),INDEX(Conversions!$C$4:$I$10,MATCH('V1 - Fuels (Mobile)'!$T32,Conversions!$B$4:$B$10,0),MATCH('V1 - Fuels (Mobile)'!$U32,Conversions!$C$3:$I$3,0))))</f>
        <v/>
      </c>
      <c r="W32" s="309" t="str">
        <f>IF(J32="","",_xlfn.XLOOKUP(H32,'Emission Factors'!$M$432:$M$787,'Emission Factors'!$S$432:$S$787)*V32)</f>
        <v/>
      </c>
      <c r="X32" s="305" t="str">
        <f>IF(J32="","","kgCO2e/"&amp;T32)</f>
        <v/>
      </c>
      <c r="Y32" s="129" t="str">
        <f t="shared" ref="Y32:Y60" si="11">IF(ISBLANK(I32)=TRUE,"",IF(ISBLANK(W32)=TRUE,"",I32*W32)/1000)</f>
        <v/>
      </c>
      <c r="Z32" s="303" t="str">
        <f>IF(J32="","",_xlfn.XLOOKUP(H32,'Emission Factors'!$M$432:$M$787,'Emission Factors'!$W$432:$W$787))</f>
        <v/>
      </c>
      <c r="AA32" s="67"/>
      <c r="AB32" s="67"/>
      <c r="AC32" s="67"/>
      <c r="AD32" s="151"/>
    </row>
    <row r="33" spans="2:30">
      <c r="B33" s="166"/>
      <c r="C33" s="173"/>
      <c r="D33" s="123"/>
      <c r="E33" s="136"/>
      <c r="F33" s="131"/>
      <c r="G33" s="131"/>
      <c r="H33" s="132" t="str">
        <f t="shared" si="7"/>
        <v/>
      </c>
      <c r="I33" s="137"/>
      <c r="J33" s="131"/>
      <c r="K33" s="108" t="str">
        <f t="shared" si="8"/>
        <v/>
      </c>
      <c r="L33" s="306" t="str">
        <f>IF(J33="","",_xlfn.XLOOKUP(H33,'Emission Factors'!$M$71:$M$131,'Emission Factors'!$U$71:$U$131))</f>
        <v/>
      </c>
      <c r="M33" s="326" t="str">
        <f>IF($J33="","",IF(OR($J33="Litre",$J33="Tonne"),_xlfn.XLOOKUP(G33&amp;L33&amp;K33,Conversions!$E$20:$E$104,Conversions!$F$20:$F$104),INDEX(Conversions!$C$4:$I$10,MATCH('V1 - Fuels (Mobile)'!$K33,Conversions!$B$4:$B$10,0),MATCH('V1 - Fuels (Mobile)'!$L33,Conversions!$C$3:$I$3,0))))</f>
        <v/>
      </c>
      <c r="N33" s="310" t="str">
        <f>IF(J33="","",_xlfn.XLOOKUP(H33,'Emission Factors'!$M$71:$M$131,'Emission Factors'!$T$71:$T$131)*M33)</f>
        <v/>
      </c>
      <c r="O33" s="311" t="str">
        <f>IF(J33="","","kgCO2e/"&amp;K33)</f>
        <v/>
      </c>
      <c r="P33" s="134" t="str">
        <f t="shared" si="9"/>
        <v/>
      </c>
      <c r="Q33" s="306" t="str">
        <f>IF(J33="","",_xlfn.XLOOKUP(H33,'Emission Factors'!$M:$M,'Emission Factors'!$W:$W))</f>
        <v/>
      </c>
      <c r="R33" s="136"/>
      <c r="S33" s="67"/>
      <c r="T33" s="303" t="str">
        <f t="shared" si="10"/>
        <v/>
      </c>
      <c r="U33" s="303" t="str">
        <f>IF(J33="","",_xlfn.XLOOKUP(H33,'Emission Factors'!$M$432:$M$787,'Emission Factors'!$U$432:$U$787))</f>
        <v/>
      </c>
      <c r="V33" s="309" t="str">
        <f>IF($J33="","",IF(OR($J33="Litre",$J33="Tonne"),_xlfn.XLOOKUP(G33&amp;U33&amp;T33,Conversions!$E$20:$E$104,Conversions!$F$20:$F$104),INDEX(Conversions!$C$4:$I$10,MATCH('V1 - Fuels (Mobile)'!$T33,Conversions!$B$4:$B$10,0),MATCH('V1 - Fuels (Mobile)'!$U33,Conversions!$C$3:$I$3,0))))</f>
        <v/>
      </c>
      <c r="W33" s="309" t="str">
        <f>IF(J33="","",_xlfn.XLOOKUP(H33,'Emission Factors'!$M$432:$M$787,'Emission Factors'!$S$432:$S$787)*V33)</f>
        <v/>
      </c>
      <c r="X33" s="305" t="str">
        <f>IF(J33="","","kgCO2e/"&amp;T33)</f>
        <v/>
      </c>
      <c r="Y33" s="129" t="str">
        <f t="shared" si="11"/>
        <v/>
      </c>
      <c r="Z33" s="303" t="str">
        <f>IF(J33="","",_xlfn.XLOOKUP(H33,'Emission Factors'!$M$432:$M$787,'Emission Factors'!$W$432:$W$787))</f>
        <v/>
      </c>
      <c r="AA33" s="67"/>
      <c r="AB33" s="67"/>
      <c r="AC33" s="67"/>
      <c r="AD33" s="151"/>
    </row>
    <row r="34" spans="2:30">
      <c r="B34" s="166"/>
      <c r="C34" s="173"/>
      <c r="D34" s="123"/>
      <c r="E34" s="136"/>
      <c r="F34" s="131"/>
      <c r="G34" s="131"/>
      <c r="H34" s="132" t="str">
        <f t="shared" si="7"/>
        <v/>
      </c>
      <c r="I34" s="137"/>
      <c r="J34" s="131"/>
      <c r="K34" s="108" t="str">
        <f t="shared" si="8"/>
        <v/>
      </c>
      <c r="L34" s="306" t="str">
        <f>IF(J34="","",_xlfn.XLOOKUP(H34,'Emission Factors'!$M$71:$M$131,'Emission Factors'!$U$71:$U$131))</f>
        <v/>
      </c>
      <c r="M34" s="326" t="str">
        <f>IF($J34="","",IF(OR($J34="Litre",$J34="Tonne"),_xlfn.XLOOKUP(G34&amp;L34&amp;K34,Conversions!$E$20:$E$104,Conversions!$F$20:$F$104),INDEX(Conversions!$C$4:$I$10,MATCH('V1 - Fuels (Mobile)'!$K34,Conversions!$B$4:$B$10,0),MATCH('V1 - Fuels (Mobile)'!$L34,Conversions!$C$3:$I$3,0))))</f>
        <v/>
      </c>
      <c r="N34" s="310" t="str">
        <f>IF(J34="","",_xlfn.XLOOKUP(H34,'Emission Factors'!$M$71:$M$131,'Emission Factors'!$T$71:$T$131)*M34)</f>
        <v/>
      </c>
      <c r="O34" s="311" t="str">
        <f>IF(J34="","","kgCO2e/"&amp;K34)</f>
        <v/>
      </c>
      <c r="P34" s="134" t="str">
        <f>IF(ISBLANK(I34)=TRUE,"",IF(ISBLANK(N34)=TRUE,"",I34*N34)/1000)</f>
        <v/>
      </c>
      <c r="Q34" s="306" t="str">
        <f>IF(J34="","",_xlfn.XLOOKUP(H34,'Emission Factors'!$M:$M,'Emission Factors'!$W:$W))</f>
        <v/>
      </c>
      <c r="R34" s="136"/>
      <c r="S34" s="67"/>
      <c r="T34" s="303" t="str">
        <f t="shared" si="10"/>
        <v/>
      </c>
      <c r="U34" s="303" t="str">
        <f>IF(J34="","",_xlfn.XLOOKUP(H34,'Emission Factors'!$M$432:$M$787,'Emission Factors'!$U$432:$U$787))</f>
        <v/>
      </c>
      <c r="V34" s="309" t="str">
        <f>IF($J34="","",IF(OR($J34="Litre",$J34="Tonne"),_xlfn.XLOOKUP(G34&amp;U34&amp;T34,Conversions!$E$20:$E$104,Conversions!$F$20:$F$104),INDEX(Conversions!$C$4:$I$10,MATCH('V1 - Fuels (Mobile)'!$T34,Conversions!$B$4:$B$10,0),MATCH('V1 - Fuels (Mobile)'!$U34,Conversions!$C$3:$I$3,0))))</f>
        <v/>
      </c>
      <c r="W34" s="309" t="str">
        <f>IF(J34="","",_xlfn.XLOOKUP(H34,'Emission Factors'!$M$432:$M$787,'Emission Factors'!$S$432:$S$787)*V34)</f>
        <v/>
      </c>
      <c r="X34" s="305" t="str">
        <f>IF(J34="","","kgCO2e/"&amp;T34)</f>
        <v/>
      </c>
      <c r="Y34" s="129" t="str">
        <f t="shared" si="11"/>
        <v/>
      </c>
      <c r="Z34" s="303" t="str">
        <f>IF(J34="","",_xlfn.XLOOKUP(H34,'Emission Factors'!$M$432:$M$787,'Emission Factors'!$W$432:$W$787))</f>
        <v/>
      </c>
      <c r="AA34" s="67"/>
      <c r="AB34" s="67"/>
      <c r="AC34" s="67"/>
      <c r="AD34" s="151"/>
    </row>
    <row r="35" spans="2:30">
      <c r="B35" s="166"/>
      <c r="C35" s="173"/>
      <c r="D35" s="123"/>
      <c r="E35" s="138"/>
      <c r="F35" s="131"/>
      <c r="G35" s="131"/>
      <c r="H35" s="132" t="str">
        <f t="shared" si="7"/>
        <v/>
      </c>
      <c r="I35" s="137"/>
      <c r="J35" s="131"/>
      <c r="K35" s="108" t="str">
        <f t="shared" si="8"/>
        <v/>
      </c>
      <c r="L35" s="306" t="str">
        <f>IF(J35="","",_xlfn.XLOOKUP(H35,'Emission Factors'!$M$71:$M$131,'Emission Factors'!$U$71:$U$131))</f>
        <v/>
      </c>
      <c r="M35" s="326" t="str">
        <f>IF($J35="","",IF(OR($J35="Litre",$J35="Tonne"),_xlfn.XLOOKUP(G35&amp;L35&amp;K35,Conversions!$E$20:$E$104,Conversions!$F$20:$F$104),INDEX(Conversions!$C$4:$I$10,MATCH('V1 - Fuels (Mobile)'!$K35,Conversions!$B$4:$B$10,0),MATCH('V1 - Fuels (Mobile)'!$L35,Conversions!$C$3:$I$3,0))))</f>
        <v/>
      </c>
      <c r="N35" s="310" t="str">
        <f>IF(J35="","",_xlfn.XLOOKUP(H35,'Emission Factors'!$M$71:$M$131,'Emission Factors'!$T$71:$T$131)*M35)</f>
        <v/>
      </c>
      <c r="O35" s="311" t="str">
        <f>IF(J35="","","kgCO2e/"&amp;K35)</f>
        <v/>
      </c>
      <c r="P35" s="134" t="str">
        <f t="shared" ref="P35:P60" si="12">IF(ISBLANK(I35)=TRUE,"",IF(ISBLANK(N35)=TRUE,"",I35*N35)/1000)</f>
        <v/>
      </c>
      <c r="Q35" s="306" t="str">
        <f>IF(J35="","",_xlfn.XLOOKUP(H35,'Emission Factors'!$M:$M,'Emission Factors'!$W:$W))</f>
        <v/>
      </c>
      <c r="R35" s="136"/>
      <c r="S35" s="67"/>
      <c r="T35" s="303" t="str">
        <f t="shared" si="10"/>
        <v/>
      </c>
      <c r="U35" s="303" t="str">
        <f>IF(J35="","",_xlfn.XLOOKUP(H35,'Emission Factors'!$M$432:$M$787,'Emission Factors'!$U$432:$U$787))</f>
        <v/>
      </c>
      <c r="V35" s="309" t="str">
        <f>IF($J35="","",IF(OR($J35="Litre",$J35="Tonne"),_xlfn.XLOOKUP(G35&amp;U35&amp;T35,Conversions!$E$20:$E$104,Conversions!$F$20:$F$104),INDEX(Conversions!$C$4:$I$10,MATCH('V1 - Fuels (Mobile)'!$T35,Conversions!$B$4:$B$10,0),MATCH('V1 - Fuels (Mobile)'!$U35,Conversions!$C$3:$I$3,0))))</f>
        <v/>
      </c>
      <c r="W35" s="309" t="str">
        <f>IF(J35="","",_xlfn.XLOOKUP(H35,'Emission Factors'!$M$432:$M$787,'Emission Factors'!$S$432:$S$787)*V35)</f>
        <v/>
      </c>
      <c r="X35" s="305" t="str">
        <f>IF(J35="","","kgCO2e/"&amp;T35)</f>
        <v/>
      </c>
      <c r="Y35" s="129" t="str">
        <f t="shared" si="11"/>
        <v/>
      </c>
      <c r="Z35" s="303" t="str">
        <f>IF(J35="","",_xlfn.XLOOKUP(H35,'Emission Factors'!$M$432:$M$787,'Emission Factors'!$W$432:$W$787))</f>
        <v/>
      </c>
      <c r="AA35" s="67"/>
      <c r="AB35" s="67"/>
      <c r="AC35" s="67"/>
      <c r="AD35" s="151"/>
    </row>
    <row r="36" spans="2:30">
      <c r="B36" s="166"/>
      <c r="C36" s="173"/>
      <c r="D36" s="123"/>
      <c r="E36" s="136"/>
      <c r="F36" s="131"/>
      <c r="G36" s="131"/>
      <c r="H36" s="132" t="str">
        <f t="shared" si="7"/>
        <v/>
      </c>
      <c r="I36" s="137"/>
      <c r="J36" s="131"/>
      <c r="K36" s="108" t="str">
        <f t="shared" si="8"/>
        <v/>
      </c>
      <c r="L36" s="306" t="str">
        <f>IF(J36="","",_xlfn.XLOOKUP(H36,'Emission Factors'!$M$71:$M$131,'Emission Factors'!$U$71:$U$131))</f>
        <v/>
      </c>
      <c r="M36" s="326" t="str">
        <f>IF($J36="","",IF(OR($J36="Litre",$J36="Tonne"),_xlfn.XLOOKUP(G36&amp;L36&amp;K36,Conversions!$E$20:$E$104,Conversions!$F$20:$F$104),INDEX(Conversions!$C$4:$I$10,MATCH('V1 - Fuels (Mobile)'!$K36,Conversions!$B$4:$B$10,0),MATCH('V1 - Fuels (Mobile)'!$L36,Conversions!$C$3:$I$3,0))))</f>
        <v/>
      </c>
      <c r="N36" s="310" t="str">
        <f>IF(J36="","",_xlfn.XLOOKUP(H36,'Emission Factors'!$M$71:$M$131,'Emission Factors'!$T$71:$T$131)*M36)</f>
        <v/>
      </c>
      <c r="O36" s="311" t="str">
        <f t="shared" ref="O36:O60" si="13">IF(J36="","","kgCO2e/"&amp;K36)</f>
        <v/>
      </c>
      <c r="P36" s="134" t="str">
        <f t="shared" si="12"/>
        <v/>
      </c>
      <c r="Q36" s="306" t="str">
        <f>IF(J36="","",_xlfn.XLOOKUP(H36,'Emission Factors'!$M:$M,'Emission Factors'!$W:$W))</f>
        <v/>
      </c>
      <c r="R36" s="136"/>
      <c r="S36" s="67"/>
      <c r="T36" s="303" t="str">
        <f t="shared" si="10"/>
        <v/>
      </c>
      <c r="U36" s="303" t="str">
        <f>IF(J36="","",_xlfn.XLOOKUP(H36,'Emission Factors'!$M$432:$M$787,'Emission Factors'!$U$432:$U$787))</f>
        <v/>
      </c>
      <c r="V36" s="309" t="str">
        <f>IF($J36="","",IF(OR($J36="Litre",$J36="Tonne"),_xlfn.XLOOKUP(G36&amp;U36&amp;T36,Conversions!$E$20:$E$104,Conversions!$F$20:$F$104),INDEX(Conversions!$C$4:$I$10,MATCH('V1 - Fuels (Mobile)'!$T36,Conversions!$B$4:$B$10,0),MATCH('V1 - Fuels (Mobile)'!$U36,Conversions!$C$3:$I$3,0))))</f>
        <v/>
      </c>
      <c r="W36" s="309" t="str">
        <f>IF(J36="","",_xlfn.XLOOKUP(H36,'Emission Factors'!$M$432:$M$787,'Emission Factors'!$S$432:$S$787)*V36)</f>
        <v/>
      </c>
      <c r="X36" s="305" t="str">
        <f t="shared" ref="X36:X60" si="14">IF(J36="","","kgCO2e/"&amp;T36)</f>
        <v/>
      </c>
      <c r="Y36" s="129" t="str">
        <f t="shared" si="11"/>
        <v/>
      </c>
      <c r="Z36" s="303" t="str">
        <f>IF(J36="","",_xlfn.XLOOKUP(H36,'Emission Factors'!$M$432:$M$787,'Emission Factors'!$W$432:$W$787))</f>
        <v/>
      </c>
      <c r="AA36" s="67"/>
      <c r="AB36" s="67"/>
      <c r="AC36" s="67"/>
      <c r="AD36" s="151"/>
    </row>
    <row r="37" spans="2:30">
      <c r="B37" s="166"/>
      <c r="C37" s="173"/>
      <c r="D37" s="123"/>
      <c r="E37" s="136"/>
      <c r="F37" s="131"/>
      <c r="G37" s="131"/>
      <c r="H37" s="132" t="str">
        <f t="shared" si="7"/>
        <v/>
      </c>
      <c r="I37" s="137"/>
      <c r="J37" s="131"/>
      <c r="K37" s="108" t="str">
        <f t="shared" si="8"/>
        <v/>
      </c>
      <c r="L37" s="306" t="str">
        <f>IF(J37="","",_xlfn.XLOOKUP(H37,'Emission Factors'!$M$71:$M$131,'Emission Factors'!$U$71:$U$131))</f>
        <v/>
      </c>
      <c r="M37" s="326" t="str">
        <f>IF($J37="","",IF(OR($J37="Litre",$J37="Tonne"),_xlfn.XLOOKUP(G37&amp;L37&amp;K37,Conversions!$E$20:$E$104,Conversions!$F$20:$F$104),INDEX(Conversions!$C$4:$I$10,MATCH('V1 - Fuels (Mobile)'!$K37,Conversions!$B$4:$B$10,0),MATCH('V1 - Fuels (Mobile)'!$L37,Conversions!$C$3:$I$3,0))))</f>
        <v/>
      </c>
      <c r="N37" s="310" t="str">
        <f>IF(J37="","",_xlfn.XLOOKUP(H37,'Emission Factors'!$M$71:$M$131,'Emission Factors'!$T$71:$T$131)*M37)</f>
        <v/>
      </c>
      <c r="O37" s="311" t="str">
        <f t="shared" si="13"/>
        <v/>
      </c>
      <c r="P37" s="134" t="str">
        <f t="shared" si="12"/>
        <v/>
      </c>
      <c r="Q37" s="306" t="str">
        <f>IF(J37="","",_xlfn.XLOOKUP(H37,'Emission Factors'!$M:$M,'Emission Factors'!$W:$W))</f>
        <v/>
      </c>
      <c r="R37" s="136"/>
      <c r="S37" s="67"/>
      <c r="T37" s="303" t="str">
        <f t="shared" si="10"/>
        <v/>
      </c>
      <c r="U37" s="303" t="str">
        <f>IF(J37="","",_xlfn.XLOOKUP(H37,'Emission Factors'!$M$432:$M$787,'Emission Factors'!$U$432:$U$787))</f>
        <v/>
      </c>
      <c r="V37" s="309" t="str">
        <f>IF($J37="","",IF(OR($J37="Litre",$J37="Tonne"),_xlfn.XLOOKUP(G37&amp;U37&amp;T37,Conversions!$E$20:$E$104,Conversions!$F$20:$F$104),INDEX(Conversions!$C$4:$I$10,MATCH('V1 - Fuels (Mobile)'!$T37,Conversions!$B$4:$B$10,0),MATCH('V1 - Fuels (Mobile)'!$U37,Conversions!$C$3:$I$3,0))))</f>
        <v/>
      </c>
      <c r="W37" s="309" t="str">
        <f>IF(J37="","",_xlfn.XLOOKUP(H37,'Emission Factors'!$M$432:$M$787,'Emission Factors'!$S$432:$S$787)*V37)</f>
        <v/>
      </c>
      <c r="X37" s="305" t="str">
        <f t="shared" si="14"/>
        <v/>
      </c>
      <c r="Y37" s="129" t="str">
        <f t="shared" si="11"/>
        <v/>
      </c>
      <c r="Z37" s="303" t="str">
        <f>IF(J37="","",_xlfn.XLOOKUP(H37,'Emission Factors'!$M$432:$M$787,'Emission Factors'!$W$432:$W$787))</f>
        <v/>
      </c>
      <c r="AA37" s="67"/>
      <c r="AB37" s="67"/>
      <c r="AC37" s="67"/>
      <c r="AD37" s="151"/>
    </row>
    <row r="38" spans="2:30">
      <c r="B38" s="166"/>
      <c r="C38" s="173"/>
      <c r="D38" s="123"/>
      <c r="E38" s="136"/>
      <c r="F38" s="131"/>
      <c r="G38" s="131"/>
      <c r="H38" s="132" t="str">
        <f t="shared" si="7"/>
        <v/>
      </c>
      <c r="I38" s="137"/>
      <c r="J38" s="131"/>
      <c r="K38" s="108" t="str">
        <f t="shared" ref="K38:K60" si="15">IF(J38="","",J38)</f>
        <v/>
      </c>
      <c r="L38" s="306" t="str">
        <f>IF(J38="","",_xlfn.XLOOKUP(H38,'Emission Factors'!$M$71:$M$131,'Emission Factors'!$U$71:$U$131))</f>
        <v/>
      </c>
      <c r="M38" s="326" t="str">
        <f>IF($J38="","",IF(OR($J38="Litre",$J38="Tonne"),_xlfn.XLOOKUP(G38&amp;L38&amp;K38,Conversions!$E$20:$E$104,Conversions!$F$20:$F$104),INDEX(Conversions!$C$4:$I$10,MATCH('V1 - Fuels (Mobile)'!$K38,Conversions!$B$4:$B$10,0),MATCH('V1 - Fuels (Mobile)'!$L38,Conversions!$C$3:$I$3,0))))</f>
        <v/>
      </c>
      <c r="N38" s="310" t="str">
        <f>IF(J38="","",_xlfn.XLOOKUP(H38,'Emission Factors'!$M$71:$M$131,'Emission Factors'!$T$71:$T$131)*M38)</f>
        <v/>
      </c>
      <c r="O38" s="311" t="str">
        <f t="shared" si="13"/>
        <v/>
      </c>
      <c r="P38" s="134" t="str">
        <f t="shared" si="12"/>
        <v/>
      </c>
      <c r="Q38" s="306" t="str">
        <f>IF(J38="","",_xlfn.XLOOKUP(H38,'Emission Factors'!$M:$M,'Emission Factors'!$W:$W))</f>
        <v/>
      </c>
      <c r="R38" s="136"/>
      <c r="S38" s="67"/>
      <c r="T38" s="303" t="str">
        <f t="shared" si="10"/>
        <v/>
      </c>
      <c r="U38" s="303" t="str">
        <f>IF(J38="","",_xlfn.XLOOKUP(H38,'Emission Factors'!$M$432:$M$787,'Emission Factors'!$U$432:$U$787))</f>
        <v/>
      </c>
      <c r="V38" s="309" t="str">
        <f>IF($J38="","",IF(OR($J38="Litre",$J38="Tonne"),_xlfn.XLOOKUP(G38&amp;U38&amp;T38,Conversions!$E$20:$E$104,Conversions!$F$20:$F$104),INDEX(Conversions!$C$4:$I$10,MATCH('V1 - Fuels (Mobile)'!$T38,Conversions!$B$4:$B$10,0),MATCH('V1 - Fuels (Mobile)'!$U38,Conversions!$C$3:$I$3,0))))</f>
        <v/>
      </c>
      <c r="W38" s="309" t="str">
        <f>IF(J38="","",_xlfn.XLOOKUP(H38,'Emission Factors'!$M$432:$M$787,'Emission Factors'!$S$432:$S$787)*V38)</f>
        <v/>
      </c>
      <c r="X38" s="305" t="str">
        <f t="shared" si="14"/>
        <v/>
      </c>
      <c r="Y38" s="129" t="str">
        <f t="shared" si="11"/>
        <v/>
      </c>
      <c r="Z38" s="303" t="str">
        <f>IF(J38="","",_xlfn.XLOOKUP(H38,'Emission Factors'!$M$432:$M$787,'Emission Factors'!$W$432:$W$787))</f>
        <v/>
      </c>
      <c r="AA38" s="67"/>
      <c r="AB38" s="67"/>
      <c r="AC38" s="67"/>
      <c r="AD38" s="151"/>
    </row>
    <row r="39" spans="2:30">
      <c r="B39" s="166"/>
      <c r="C39" s="173"/>
      <c r="D39" s="123"/>
      <c r="E39" s="136"/>
      <c r="F39" s="131"/>
      <c r="G39" s="131"/>
      <c r="H39" s="132" t="str">
        <f t="shared" si="7"/>
        <v/>
      </c>
      <c r="I39" s="137"/>
      <c r="J39" s="131"/>
      <c r="K39" s="108" t="str">
        <f t="shared" si="15"/>
        <v/>
      </c>
      <c r="L39" s="306" t="str">
        <f>IF(J39="","",_xlfn.XLOOKUP(H39,'Emission Factors'!$M$71:$M$131,'Emission Factors'!$U$71:$U$131))</f>
        <v/>
      </c>
      <c r="M39" s="326" t="str">
        <f>IF($J39="","",IF(OR($J39="Litre",$J39="Tonne"),_xlfn.XLOOKUP(G39&amp;L39&amp;K39,Conversions!$E$20:$E$104,Conversions!$F$20:$F$104),INDEX(Conversions!$C$4:$I$10,MATCH('V1 - Fuels (Mobile)'!$K39,Conversions!$B$4:$B$10,0),MATCH('V1 - Fuels (Mobile)'!$L39,Conversions!$C$3:$I$3,0))))</f>
        <v/>
      </c>
      <c r="N39" s="310" t="str">
        <f>IF(J39="","",_xlfn.XLOOKUP(H39,'Emission Factors'!$M$71:$M$131,'Emission Factors'!$T$71:$T$131)*M39)</f>
        <v/>
      </c>
      <c r="O39" s="311" t="str">
        <f t="shared" si="13"/>
        <v/>
      </c>
      <c r="P39" s="134" t="str">
        <f t="shared" si="12"/>
        <v/>
      </c>
      <c r="Q39" s="306" t="str">
        <f>IF(J39="","",_xlfn.XLOOKUP(H39,'Emission Factors'!$M:$M,'Emission Factors'!$W:$W))</f>
        <v/>
      </c>
      <c r="R39" s="136"/>
      <c r="S39" s="67"/>
      <c r="T39" s="303" t="str">
        <f t="shared" si="10"/>
        <v/>
      </c>
      <c r="U39" s="303" t="str">
        <f>IF(J39="","",_xlfn.XLOOKUP(H39,'Emission Factors'!$M$432:$M$787,'Emission Factors'!$U$432:$U$787))</f>
        <v/>
      </c>
      <c r="V39" s="309" t="str">
        <f>IF($J39="","",IF(OR($J39="Litre",$J39="Tonne"),_xlfn.XLOOKUP(G39&amp;U39&amp;T39,Conversions!$E$20:$E$104,Conversions!$F$20:$F$104),INDEX(Conversions!$C$4:$I$10,MATCH('V1 - Fuels (Mobile)'!$T39,Conversions!$B$4:$B$10,0),MATCH('V1 - Fuels (Mobile)'!$U39,Conversions!$C$3:$I$3,0))))</f>
        <v/>
      </c>
      <c r="W39" s="309" t="str">
        <f>IF(J39="","",_xlfn.XLOOKUP(H39,'Emission Factors'!$M$432:$M$787,'Emission Factors'!$S$432:$S$787)*V39)</f>
        <v/>
      </c>
      <c r="X39" s="305" t="str">
        <f t="shared" si="14"/>
        <v/>
      </c>
      <c r="Y39" s="129" t="str">
        <f t="shared" si="11"/>
        <v/>
      </c>
      <c r="Z39" s="303" t="str">
        <f>IF(J39="","",_xlfn.XLOOKUP(H39,'Emission Factors'!$M$432:$M$787,'Emission Factors'!$W$432:$W$787))</f>
        <v/>
      </c>
      <c r="AA39" s="67"/>
      <c r="AB39" s="67"/>
      <c r="AC39" s="67"/>
      <c r="AD39" s="151"/>
    </row>
    <row r="40" spans="2:30">
      <c r="B40" s="166"/>
      <c r="C40" s="173"/>
      <c r="D40" s="123"/>
      <c r="E40" s="136"/>
      <c r="F40" s="131"/>
      <c r="G40" s="131"/>
      <c r="H40" s="132" t="str">
        <f t="shared" si="7"/>
        <v/>
      </c>
      <c r="I40" s="137"/>
      <c r="J40" s="131"/>
      <c r="K40" s="108" t="str">
        <f t="shared" si="15"/>
        <v/>
      </c>
      <c r="L40" s="306" t="str">
        <f>IF(J40="","",_xlfn.XLOOKUP(H40,'Emission Factors'!$M$71:$M$131,'Emission Factors'!$U$71:$U$131))</f>
        <v/>
      </c>
      <c r="M40" s="326" t="str">
        <f>IF($J40="","",IF(OR($J40="Litre",$J40="Tonne"),_xlfn.XLOOKUP(G40&amp;L40&amp;K40,Conversions!$E$20:$E$104,Conversions!$F$20:$F$104),INDEX(Conversions!$C$4:$I$10,MATCH('V1 - Fuels (Mobile)'!$K40,Conversions!$B$4:$B$10,0),MATCH('V1 - Fuels (Mobile)'!$L40,Conversions!$C$3:$I$3,0))))</f>
        <v/>
      </c>
      <c r="N40" s="310" t="str">
        <f>IF(J40="","",_xlfn.XLOOKUP(H40,'Emission Factors'!$M$71:$M$131,'Emission Factors'!$T$71:$T$131)*M40)</f>
        <v/>
      </c>
      <c r="O40" s="311" t="str">
        <f t="shared" si="13"/>
        <v/>
      </c>
      <c r="P40" s="134" t="str">
        <f t="shared" si="12"/>
        <v/>
      </c>
      <c r="Q40" s="306" t="str">
        <f>IF(J40="","",_xlfn.XLOOKUP(H40,'Emission Factors'!$M:$M,'Emission Factors'!$W:$W))</f>
        <v/>
      </c>
      <c r="R40" s="136"/>
      <c r="S40" s="67"/>
      <c r="T40" s="303" t="str">
        <f t="shared" si="10"/>
        <v/>
      </c>
      <c r="U40" s="303" t="str">
        <f>IF(J40="","",_xlfn.XLOOKUP(H40,'Emission Factors'!$M$432:$M$787,'Emission Factors'!$U$432:$U$787))</f>
        <v/>
      </c>
      <c r="V40" s="309" t="str">
        <f>IF($J40="","",IF(OR($J40="Litre",$J40="Tonne"),_xlfn.XLOOKUP(G40&amp;U40&amp;T40,Conversions!$E$20:$E$104,Conversions!$F$20:$F$104),INDEX(Conversions!$C$4:$I$10,MATCH('V1 - Fuels (Mobile)'!$T40,Conversions!$B$4:$B$10,0),MATCH('V1 - Fuels (Mobile)'!$U40,Conversions!$C$3:$I$3,0))))</f>
        <v/>
      </c>
      <c r="W40" s="309" t="str">
        <f>IF(J40="","",_xlfn.XLOOKUP(H40,'Emission Factors'!$M$432:$M$787,'Emission Factors'!$S$432:$S$787)*V40)</f>
        <v/>
      </c>
      <c r="X40" s="305" t="str">
        <f t="shared" si="14"/>
        <v/>
      </c>
      <c r="Y40" s="129" t="str">
        <f t="shared" si="11"/>
        <v/>
      </c>
      <c r="Z40" s="303" t="str">
        <f>IF(J40="","",_xlfn.XLOOKUP(H40,'Emission Factors'!$M$432:$M$787,'Emission Factors'!$W$432:$W$787))</f>
        <v/>
      </c>
      <c r="AA40" s="67"/>
      <c r="AB40" s="67"/>
      <c r="AC40" s="67"/>
      <c r="AD40" s="151"/>
    </row>
    <row r="41" spans="2:30">
      <c r="B41" s="166"/>
      <c r="C41" s="173"/>
      <c r="D41" s="123"/>
      <c r="E41" s="136"/>
      <c r="F41" s="131"/>
      <c r="G41" s="131"/>
      <c r="H41" s="132" t="str">
        <f t="shared" si="7"/>
        <v/>
      </c>
      <c r="I41" s="137"/>
      <c r="J41" s="131"/>
      <c r="K41" s="108" t="str">
        <f t="shared" si="15"/>
        <v/>
      </c>
      <c r="L41" s="306" t="str">
        <f>IF(J41="","",_xlfn.XLOOKUP(H41,'Emission Factors'!$M$71:$M$131,'Emission Factors'!$U$71:$U$131))</f>
        <v/>
      </c>
      <c r="M41" s="326" t="str">
        <f>IF($J41="","",IF(OR($J41="Litre",$J41="Tonne"),_xlfn.XLOOKUP(G41&amp;L41&amp;K41,Conversions!$E$20:$E$104,Conversions!$F$20:$F$104),INDEX(Conversions!$C$4:$I$10,MATCH('V1 - Fuels (Mobile)'!$K41,Conversions!$B$4:$B$10,0),MATCH('V1 - Fuels (Mobile)'!$L41,Conversions!$C$3:$I$3,0))))</f>
        <v/>
      </c>
      <c r="N41" s="310" t="str">
        <f>IF(J41="","",_xlfn.XLOOKUP(H41,'Emission Factors'!$M$71:$M$131,'Emission Factors'!$T$71:$T$131)*M41)</f>
        <v/>
      </c>
      <c r="O41" s="311" t="str">
        <f t="shared" si="13"/>
        <v/>
      </c>
      <c r="P41" s="134" t="str">
        <f t="shared" si="12"/>
        <v/>
      </c>
      <c r="Q41" s="306" t="str">
        <f>IF(J41="","",_xlfn.XLOOKUP(H41,'Emission Factors'!$M:$M,'Emission Factors'!$W:$W))</f>
        <v/>
      </c>
      <c r="R41" s="136"/>
      <c r="S41" s="67"/>
      <c r="T41" s="303" t="str">
        <f t="shared" si="10"/>
        <v/>
      </c>
      <c r="U41" s="303" t="str">
        <f>IF(J41="","",_xlfn.XLOOKUP(H41,'Emission Factors'!$M$432:$M$787,'Emission Factors'!$U$432:$U$787))</f>
        <v/>
      </c>
      <c r="V41" s="309" t="str">
        <f>IF($J41="","",IF(OR($J41="Litre",$J41="Tonne"),_xlfn.XLOOKUP(G41&amp;U41&amp;T41,Conversions!$E$20:$E$104,Conversions!$F$20:$F$104),INDEX(Conversions!$C$4:$I$10,MATCH('V1 - Fuels (Mobile)'!$T41,Conversions!$B$4:$B$10,0),MATCH('V1 - Fuels (Mobile)'!$U41,Conversions!$C$3:$I$3,0))))</f>
        <v/>
      </c>
      <c r="W41" s="309" t="str">
        <f>IF(J41="","",_xlfn.XLOOKUP(H41,'Emission Factors'!$M$432:$M$787,'Emission Factors'!$S$432:$S$787)*V41)</f>
        <v/>
      </c>
      <c r="X41" s="305" t="str">
        <f t="shared" si="14"/>
        <v/>
      </c>
      <c r="Y41" s="129" t="str">
        <f t="shared" si="11"/>
        <v/>
      </c>
      <c r="Z41" s="303" t="str">
        <f>IF(J41="","",_xlfn.XLOOKUP(H41,'Emission Factors'!$M$432:$M$787,'Emission Factors'!$W$432:$W$787))</f>
        <v/>
      </c>
      <c r="AA41" s="67"/>
      <c r="AB41" s="67"/>
      <c r="AC41" s="67"/>
      <c r="AD41" s="151"/>
    </row>
    <row r="42" spans="2:30">
      <c r="B42" s="166"/>
      <c r="C42" s="173"/>
      <c r="D42" s="123"/>
      <c r="E42" s="136"/>
      <c r="F42" s="131"/>
      <c r="G42" s="131"/>
      <c r="H42" s="132" t="str">
        <f t="shared" si="7"/>
        <v/>
      </c>
      <c r="I42" s="137"/>
      <c r="J42" s="131"/>
      <c r="K42" s="108" t="str">
        <f t="shared" si="15"/>
        <v/>
      </c>
      <c r="L42" s="306" t="str">
        <f>IF(J42="","",_xlfn.XLOOKUP(H42,'Emission Factors'!$M$71:$M$131,'Emission Factors'!$U$71:$U$131))</f>
        <v/>
      </c>
      <c r="M42" s="326" t="str">
        <f>IF($J42="","",IF(OR($J42="Litre",$J42="Tonne"),_xlfn.XLOOKUP(G42&amp;L42&amp;K42,Conversions!$E$20:$E$104,Conversions!$F$20:$F$104),INDEX(Conversions!$C$4:$I$10,MATCH('V1 - Fuels (Mobile)'!$K42,Conversions!$B$4:$B$10,0),MATCH('V1 - Fuels (Mobile)'!$L42,Conversions!$C$3:$I$3,0))))</f>
        <v/>
      </c>
      <c r="N42" s="310" t="str">
        <f>IF(J42="","",_xlfn.XLOOKUP(H42,'Emission Factors'!$M$71:$M$131,'Emission Factors'!$T$71:$T$131)*M42)</f>
        <v/>
      </c>
      <c r="O42" s="311" t="str">
        <f t="shared" si="13"/>
        <v/>
      </c>
      <c r="P42" s="134" t="str">
        <f t="shared" si="12"/>
        <v/>
      </c>
      <c r="Q42" s="306" t="str">
        <f>IF(J42="","",_xlfn.XLOOKUP(H42,'Emission Factors'!$M:$M,'Emission Factors'!$W:$W))</f>
        <v/>
      </c>
      <c r="R42" s="136"/>
      <c r="S42" s="67"/>
      <c r="T42" s="303" t="str">
        <f t="shared" si="10"/>
        <v/>
      </c>
      <c r="U42" s="303" t="str">
        <f>IF(J42="","",_xlfn.XLOOKUP(H42,'Emission Factors'!$M$432:$M$787,'Emission Factors'!$U$432:$U$787))</f>
        <v/>
      </c>
      <c r="V42" s="309" t="str">
        <f>IF($J42="","",IF(OR($J42="Litre",$J42="Tonne"),_xlfn.XLOOKUP(G42&amp;U42&amp;T42,Conversions!$E$20:$E$104,Conversions!$F$20:$F$104),INDEX(Conversions!$C$4:$I$10,MATCH('V1 - Fuels (Mobile)'!$T42,Conversions!$B$4:$B$10,0),MATCH('V1 - Fuels (Mobile)'!$U42,Conversions!$C$3:$I$3,0))))</f>
        <v/>
      </c>
      <c r="W42" s="309" t="str">
        <f>IF(J42="","",_xlfn.XLOOKUP(H42,'Emission Factors'!$M$432:$M$787,'Emission Factors'!$S$432:$S$787)*V42)</f>
        <v/>
      </c>
      <c r="X42" s="305" t="str">
        <f t="shared" si="14"/>
        <v/>
      </c>
      <c r="Y42" s="129" t="str">
        <f t="shared" si="11"/>
        <v/>
      </c>
      <c r="Z42" s="303" t="str">
        <f>IF(J42="","",_xlfn.XLOOKUP(H42,'Emission Factors'!$M$432:$M$787,'Emission Factors'!$W$432:$W$787))</f>
        <v/>
      </c>
      <c r="AA42" s="67"/>
      <c r="AB42" s="67"/>
      <c r="AC42" s="67"/>
      <c r="AD42" s="151"/>
    </row>
    <row r="43" spans="2:30">
      <c r="B43" s="166"/>
      <c r="C43" s="173"/>
      <c r="D43" s="123"/>
      <c r="E43" s="136"/>
      <c r="F43" s="131"/>
      <c r="G43" s="131"/>
      <c r="H43" s="132" t="str">
        <f t="shared" si="7"/>
        <v/>
      </c>
      <c r="I43" s="137"/>
      <c r="J43" s="131"/>
      <c r="K43" s="108" t="str">
        <f t="shared" si="15"/>
        <v/>
      </c>
      <c r="L43" s="306" t="str">
        <f>IF(J43="","",_xlfn.XLOOKUP(H43,'Emission Factors'!$M$71:$M$131,'Emission Factors'!$U$71:$U$131))</f>
        <v/>
      </c>
      <c r="M43" s="326" t="str">
        <f>IF($J43="","",IF(OR($J43="Litre",$J43="Tonne"),_xlfn.XLOOKUP(G43&amp;L43&amp;K43,Conversions!$E$20:$E$104,Conversions!$F$20:$F$104),INDEX(Conversions!$C$4:$I$10,MATCH('V1 - Fuels (Mobile)'!$K43,Conversions!$B$4:$B$10,0),MATCH('V1 - Fuels (Mobile)'!$L43,Conversions!$C$3:$I$3,0))))</f>
        <v/>
      </c>
      <c r="N43" s="310" t="str">
        <f>IF(J43="","",_xlfn.XLOOKUP(H43,'Emission Factors'!$M$71:$M$131,'Emission Factors'!$T$71:$T$131)*M43)</f>
        <v/>
      </c>
      <c r="O43" s="311" t="str">
        <f t="shared" si="13"/>
        <v/>
      </c>
      <c r="P43" s="134" t="str">
        <f t="shared" si="12"/>
        <v/>
      </c>
      <c r="Q43" s="306" t="str">
        <f>IF(J43="","",_xlfn.XLOOKUP(H43,'Emission Factors'!$M:$M,'Emission Factors'!$W:$W))</f>
        <v/>
      </c>
      <c r="R43" s="136"/>
      <c r="S43" s="67"/>
      <c r="T43" s="303" t="str">
        <f t="shared" si="10"/>
        <v/>
      </c>
      <c r="U43" s="303" t="str">
        <f>IF(J43="","",_xlfn.XLOOKUP(H43,'Emission Factors'!$M$432:$M$787,'Emission Factors'!$U$432:$U$787))</f>
        <v/>
      </c>
      <c r="V43" s="309" t="str">
        <f>IF($J43="","",IF(OR($J43="Litre",$J43="Tonne"),_xlfn.XLOOKUP(G43&amp;U43&amp;T43,Conversions!$E$20:$E$104,Conversions!$F$20:$F$104),INDEX(Conversions!$C$4:$I$10,MATCH('V1 - Fuels (Mobile)'!$T43,Conversions!$B$4:$B$10,0),MATCH('V1 - Fuels (Mobile)'!$U43,Conversions!$C$3:$I$3,0))))</f>
        <v/>
      </c>
      <c r="W43" s="309" t="str">
        <f>IF(J43="","",_xlfn.XLOOKUP(H43,'Emission Factors'!$M$432:$M$787,'Emission Factors'!$S$432:$S$787)*V43)</f>
        <v/>
      </c>
      <c r="X43" s="305" t="str">
        <f t="shared" si="14"/>
        <v/>
      </c>
      <c r="Y43" s="129" t="str">
        <f t="shared" si="11"/>
        <v/>
      </c>
      <c r="Z43" s="303" t="str">
        <f>IF(J43="","",_xlfn.XLOOKUP(H43,'Emission Factors'!$M$432:$M$787,'Emission Factors'!$W$432:$W$787))</f>
        <v/>
      </c>
      <c r="AA43" s="67"/>
      <c r="AB43" s="67"/>
      <c r="AC43" s="67"/>
      <c r="AD43" s="151"/>
    </row>
    <row r="44" spans="2:30">
      <c r="B44" s="166"/>
      <c r="C44" s="173"/>
      <c r="D44" s="123"/>
      <c r="E44" s="136"/>
      <c r="F44" s="131"/>
      <c r="G44" s="131"/>
      <c r="H44" s="132" t="str">
        <f t="shared" si="7"/>
        <v/>
      </c>
      <c r="I44" s="137"/>
      <c r="J44" s="131"/>
      <c r="K44" s="108" t="str">
        <f t="shared" si="15"/>
        <v/>
      </c>
      <c r="L44" s="306" t="str">
        <f>IF(J44="","",_xlfn.XLOOKUP(H44,'Emission Factors'!$M$71:$M$131,'Emission Factors'!$U$71:$U$131))</f>
        <v/>
      </c>
      <c r="M44" s="326" t="str">
        <f>IF($J44="","",IF(OR($J44="Litre",$J44="Tonne"),_xlfn.XLOOKUP(G44&amp;L44&amp;K44,Conversions!$E$20:$E$104,Conversions!$F$20:$F$104),INDEX(Conversions!$C$4:$I$10,MATCH('V1 - Fuels (Mobile)'!$K44,Conversions!$B$4:$B$10,0),MATCH('V1 - Fuels (Mobile)'!$L44,Conversions!$C$3:$I$3,0))))</f>
        <v/>
      </c>
      <c r="N44" s="310" t="str">
        <f>IF(J44="","",_xlfn.XLOOKUP(H44,'Emission Factors'!$M$71:$M$131,'Emission Factors'!$T$71:$T$131)*M44)</f>
        <v/>
      </c>
      <c r="O44" s="311" t="str">
        <f t="shared" si="13"/>
        <v/>
      </c>
      <c r="P44" s="134" t="str">
        <f t="shared" si="12"/>
        <v/>
      </c>
      <c r="Q44" s="306" t="str">
        <f>IF(J44="","",_xlfn.XLOOKUP(H44,'Emission Factors'!$M:$M,'Emission Factors'!$W:$W))</f>
        <v/>
      </c>
      <c r="R44" s="136"/>
      <c r="S44" s="67"/>
      <c r="T44" s="303" t="str">
        <f t="shared" si="10"/>
        <v/>
      </c>
      <c r="U44" s="303" t="str">
        <f>IF(J44="","",_xlfn.XLOOKUP(H44,'Emission Factors'!$M$432:$M$787,'Emission Factors'!$U$432:$U$787))</f>
        <v/>
      </c>
      <c r="V44" s="309" t="str">
        <f>IF($J44="","",IF(OR($J44="Litre",$J44="Tonne"),_xlfn.XLOOKUP(G44&amp;U44&amp;T44,Conversions!$E$20:$E$104,Conversions!$F$20:$F$104),INDEX(Conversions!$C$4:$I$10,MATCH('V1 - Fuels (Mobile)'!$T44,Conversions!$B$4:$B$10,0),MATCH('V1 - Fuels (Mobile)'!$U44,Conversions!$C$3:$I$3,0))))</f>
        <v/>
      </c>
      <c r="W44" s="309" t="str">
        <f>IF(J44="","",_xlfn.XLOOKUP(H44,'Emission Factors'!$M$432:$M$787,'Emission Factors'!$S$432:$S$787)*V44)</f>
        <v/>
      </c>
      <c r="X44" s="305" t="str">
        <f t="shared" si="14"/>
        <v/>
      </c>
      <c r="Y44" s="129" t="str">
        <f t="shared" si="11"/>
        <v/>
      </c>
      <c r="Z44" s="303" t="str">
        <f>IF(J44="","",_xlfn.XLOOKUP(H44,'Emission Factors'!$M$432:$M$787,'Emission Factors'!$W$432:$W$787))</f>
        <v/>
      </c>
      <c r="AA44" s="67"/>
      <c r="AB44" s="67"/>
      <c r="AC44" s="67"/>
      <c r="AD44" s="151"/>
    </row>
    <row r="45" spans="2:30">
      <c r="B45" s="166"/>
      <c r="C45" s="173"/>
      <c r="D45" s="123"/>
      <c r="E45" s="136"/>
      <c r="F45" s="131"/>
      <c r="G45" s="131"/>
      <c r="H45" s="132" t="str">
        <f t="shared" si="7"/>
        <v/>
      </c>
      <c r="I45" s="137"/>
      <c r="J45" s="131"/>
      <c r="K45" s="108" t="str">
        <f t="shared" si="15"/>
        <v/>
      </c>
      <c r="L45" s="306" t="str">
        <f>IF(J45="","",_xlfn.XLOOKUP(H45,'Emission Factors'!$M$71:$M$131,'Emission Factors'!$U$71:$U$131))</f>
        <v/>
      </c>
      <c r="M45" s="326" t="str">
        <f>IF($J45="","",IF(OR($J45="Litre",$J45="Tonne"),_xlfn.XLOOKUP(G45&amp;L45&amp;K45,Conversions!$E$20:$E$104,Conversions!$F$20:$F$104),INDEX(Conversions!$C$4:$I$10,MATCH('V1 - Fuels (Mobile)'!$K45,Conversions!$B$4:$B$10,0),MATCH('V1 - Fuels (Mobile)'!$L45,Conversions!$C$3:$I$3,0))))</f>
        <v/>
      </c>
      <c r="N45" s="310" t="str">
        <f>IF(J45="","",_xlfn.XLOOKUP(H45,'Emission Factors'!$M$71:$M$131,'Emission Factors'!$T$71:$T$131)*M45)</f>
        <v/>
      </c>
      <c r="O45" s="311" t="str">
        <f t="shared" si="13"/>
        <v/>
      </c>
      <c r="P45" s="134" t="str">
        <f t="shared" si="12"/>
        <v/>
      </c>
      <c r="Q45" s="306" t="str">
        <f>IF(J45="","",_xlfn.XLOOKUP(H45,'Emission Factors'!$M:$M,'Emission Factors'!$W:$W))</f>
        <v/>
      </c>
      <c r="R45" s="136"/>
      <c r="S45" s="67"/>
      <c r="T45" s="303" t="str">
        <f t="shared" si="10"/>
        <v/>
      </c>
      <c r="U45" s="303" t="str">
        <f>IF(J45="","",_xlfn.XLOOKUP(H45,'Emission Factors'!$M$432:$M$787,'Emission Factors'!$U$432:$U$787))</f>
        <v/>
      </c>
      <c r="V45" s="309" t="str">
        <f>IF($J45="","",IF(OR($J45="Litre",$J45="Tonne"),_xlfn.XLOOKUP(G45&amp;U45&amp;T45,Conversions!$E$20:$E$104,Conversions!$F$20:$F$104),INDEX(Conversions!$C$4:$I$10,MATCH('V1 - Fuels (Mobile)'!$T45,Conversions!$B$4:$B$10,0),MATCH('V1 - Fuels (Mobile)'!$U45,Conversions!$C$3:$I$3,0))))</f>
        <v/>
      </c>
      <c r="W45" s="309" t="str">
        <f>IF(J45="","",_xlfn.XLOOKUP(H45,'Emission Factors'!$M$432:$M$787,'Emission Factors'!$S$432:$S$787)*V45)</f>
        <v/>
      </c>
      <c r="X45" s="305" t="str">
        <f t="shared" si="14"/>
        <v/>
      </c>
      <c r="Y45" s="129" t="str">
        <f t="shared" si="11"/>
        <v/>
      </c>
      <c r="Z45" s="303" t="str">
        <f>IF(J45="","",_xlfn.XLOOKUP(H45,'Emission Factors'!$M$432:$M$787,'Emission Factors'!$W$432:$W$787))</f>
        <v/>
      </c>
      <c r="AA45" s="67"/>
      <c r="AB45" s="67"/>
      <c r="AC45" s="67"/>
      <c r="AD45" s="151"/>
    </row>
    <row r="46" spans="2:30">
      <c r="B46" s="166"/>
      <c r="C46" s="173"/>
      <c r="D46" s="123"/>
      <c r="E46" s="136"/>
      <c r="F46" s="131"/>
      <c r="G46" s="131"/>
      <c r="H46" s="132" t="str">
        <f>G46&amp;F46</f>
        <v/>
      </c>
      <c r="I46" s="137"/>
      <c r="J46" s="131"/>
      <c r="K46" s="108" t="str">
        <f t="shared" si="15"/>
        <v/>
      </c>
      <c r="L46" s="306" t="str">
        <f>IF(J46="","",_xlfn.XLOOKUP(H46,'Emission Factors'!$M$71:$M$131,'Emission Factors'!$U$71:$U$131))</f>
        <v/>
      </c>
      <c r="M46" s="326" t="str">
        <f>IF($J46="","",IF(OR($J46="Litre",$J46="Tonne"),_xlfn.XLOOKUP(G46&amp;L46&amp;K46,Conversions!$E$20:$E$104,Conversions!$F$20:$F$104),INDEX(Conversions!$C$4:$I$10,MATCH('V1 - Fuels (Mobile)'!$K46,Conversions!$B$4:$B$10,0),MATCH('V1 - Fuels (Mobile)'!$L46,Conversions!$C$3:$I$3,0))))</f>
        <v/>
      </c>
      <c r="N46" s="310" t="str">
        <f>IF(J46="","",_xlfn.XLOOKUP(H46,'Emission Factors'!$M$71:$M$131,'Emission Factors'!$T$71:$T$131)*M46)</f>
        <v/>
      </c>
      <c r="O46" s="311" t="str">
        <f t="shared" si="13"/>
        <v/>
      </c>
      <c r="P46" s="134" t="str">
        <f t="shared" si="12"/>
        <v/>
      </c>
      <c r="Q46" s="306" t="str">
        <f>IF(J46="","",_xlfn.XLOOKUP(H46,'Emission Factors'!$M:$M,'Emission Factors'!$W:$W))</f>
        <v/>
      </c>
      <c r="R46" s="136"/>
      <c r="S46" s="67"/>
      <c r="T46" s="303" t="str">
        <f t="shared" si="10"/>
        <v/>
      </c>
      <c r="U46" s="303" t="str">
        <f>IF(J46="","",_xlfn.XLOOKUP(H46,'Emission Factors'!$M$432:$M$787,'Emission Factors'!$U$432:$U$787))</f>
        <v/>
      </c>
      <c r="V46" s="309" t="str">
        <f>IF($J46="","",IF(OR($J46="Litre",$J46="Tonne"),_xlfn.XLOOKUP(G46&amp;U46&amp;T46,Conversions!$E$20:$E$104,Conversions!$F$20:$F$104),INDEX(Conversions!$C$4:$I$10,MATCH('V1 - Fuels (Mobile)'!$T46,Conversions!$B$4:$B$10,0),MATCH('V1 - Fuels (Mobile)'!$U46,Conversions!$C$3:$I$3,0))))</f>
        <v/>
      </c>
      <c r="W46" s="309" t="str">
        <f>IF(J46="","",_xlfn.XLOOKUP(H46,'Emission Factors'!$M$432:$M$787,'Emission Factors'!$S$432:$S$787)*V46)</f>
        <v/>
      </c>
      <c r="X46" s="305" t="str">
        <f t="shared" si="14"/>
        <v/>
      </c>
      <c r="Y46" s="129" t="str">
        <f t="shared" si="11"/>
        <v/>
      </c>
      <c r="Z46" s="303" t="str">
        <f>IF(J46="","",_xlfn.XLOOKUP(H46,'Emission Factors'!$M$432:$M$787,'Emission Factors'!$W$432:$W$787))</f>
        <v/>
      </c>
      <c r="AA46" s="67"/>
      <c r="AB46" s="67"/>
      <c r="AC46" s="67"/>
      <c r="AD46" s="151"/>
    </row>
    <row r="47" spans="2:30">
      <c r="B47" s="166"/>
      <c r="C47" s="173"/>
      <c r="D47" s="123"/>
      <c r="E47" s="136"/>
      <c r="F47" s="131"/>
      <c r="G47" s="131"/>
      <c r="H47" s="132" t="str">
        <f>G47&amp;F47</f>
        <v/>
      </c>
      <c r="I47" s="137"/>
      <c r="J47" s="131"/>
      <c r="K47" s="108" t="str">
        <f t="shared" si="15"/>
        <v/>
      </c>
      <c r="L47" s="306" t="str">
        <f>IF(J47="","",_xlfn.XLOOKUP(H47,'Emission Factors'!$M$71:$M$131,'Emission Factors'!$U$71:$U$131))</f>
        <v/>
      </c>
      <c r="M47" s="326" t="str">
        <f>IF($J47="","",IF(OR($J47="Litre",$J47="Tonne"),_xlfn.XLOOKUP(G47&amp;L47&amp;K47,Conversions!$E$20:$E$104,Conversions!$F$20:$F$104),INDEX(Conversions!$C$4:$I$10,MATCH('V1 - Fuels (Mobile)'!$K47,Conversions!$B$4:$B$10,0),MATCH('V1 - Fuels (Mobile)'!$L47,Conversions!$C$3:$I$3,0))))</f>
        <v/>
      </c>
      <c r="N47" s="310" t="str">
        <f>IF(J47="","",_xlfn.XLOOKUP(H47,'Emission Factors'!$M$71:$M$131,'Emission Factors'!$T$71:$T$131)*M47)</f>
        <v/>
      </c>
      <c r="O47" s="311" t="str">
        <f t="shared" si="13"/>
        <v/>
      </c>
      <c r="P47" s="134" t="str">
        <f t="shared" si="12"/>
        <v/>
      </c>
      <c r="Q47" s="306" t="str">
        <f>IF(J47="","",_xlfn.XLOOKUP(H47,'Emission Factors'!$M:$M,'Emission Factors'!$W:$W))</f>
        <v/>
      </c>
      <c r="R47" s="136"/>
      <c r="S47" s="67"/>
      <c r="T47" s="303" t="str">
        <f t="shared" si="10"/>
        <v/>
      </c>
      <c r="U47" s="303" t="str">
        <f>IF(J47="","",_xlfn.XLOOKUP(H47,'Emission Factors'!$M$432:$M$787,'Emission Factors'!$U$432:$U$787))</f>
        <v/>
      </c>
      <c r="V47" s="309" t="str">
        <f>IF($J47="","",IF(OR($J47="Litre",$J47="Tonne"),_xlfn.XLOOKUP(G47&amp;U47&amp;T47,Conversions!$E$20:$E$104,Conversions!$F$20:$F$104),INDEX(Conversions!$C$4:$I$10,MATCH('V1 - Fuels (Mobile)'!$T47,Conversions!$B$4:$B$10,0),MATCH('V1 - Fuels (Mobile)'!$U47,Conversions!$C$3:$I$3,0))))</f>
        <v/>
      </c>
      <c r="W47" s="309" t="str">
        <f>IF(J47="","",_xlfn.XLOOKUP(H47,'Emission Factors'!$M$432:$M$787,'Emission Factors'!$S$432:$S$787)*V47)</f>
        <v/>
      </c>
      <c r="X47" s="305" t="str">
        <f t="shared" si="14"/>
        <v/>
      </c>
      <c r="Y47" s="129" t="str">
        <f t="shared" si="11"/>
        <v/>
      </c>
      <c r="Z47" s="303" t="str">
        <f>IF(J47="","",_xlfn.XLOOKUP(H47,'Emission Factors'!$M$432:$M$787,'Emission Factors'!$W$432:$W$787))</f>
        <v/>
      </c>
      <c r="AA47" s="67"/>
      <c r="AB47" s="67"/>
      <c r="AC47" s="67"/>
      <c r="AD47" s="151"/>
    </row>
    <row r="48" spans="2:30">
      <c r="B48" s="166"/>
      <c r="C48" s="173"/>
      <c r="D48" s="123"/>
      <c r="E48" s="136"/>
      <c r="F48" s="131"/>
      <c r="G48" s="131"/>
      <c r="H48" s="132" t="str">
        <f t="shared" si="7"/>
        <v/>
      </c>
      <c r="I48" s="137"/>
      <c r="J48" s="131"/>
      <c r="K48" s="108" t="str">
        <f>IF(J48="","",J48)</f>
        <v/>
      </c>
      <c r="L48" s="306" t="str">
        <f>IF(J48="","",_xlfn.XLOOKUP(H48,'Emission Factors'!$M$71:$M$131,'Emission Factors'!$U$71:$U$131))</f>
        <v/>
      </c>
      <c r="M48" s="326" t="str">
        <f>IF($J48="","",IF(OR($J48="Litre",$J48="Tonne"),_xlfn.XLOOKUP(G48&amp;L48&amp;K48,Conversions!$E$20:$E$104,Conversions!$F$20:$F$104),INDEX(Conversions!$C$4:$I$10,MATCH('V1 - Fuels (Mobile)'!$K48,Conversions!$B$4:$B$10,0),MATCH('V1 - Fuels (Mobile)'!$L48,Conversions!$C$3:$I$3,0))))</f>
        <v/>
      </c>
      <c r="N48" s="310" t="str">
        <f>IF(J48="","",_xlfn.XLOOKUP(H48,'Emission Factors'!$M$71:$M$131,'Emission Factors'!$T$71:$T$131)*M48)</f>
        <v/>
      </c>
      <c r="O48" s="311" t="str">
        <f>IF(J48="","","kgCO2e/"&amp;K48)</f>
        <v/>
      </c>
      <c r="P48" s="134" t="str">
        <f t="shared" si="12"/>
        <v/>
      </c>
      <c r="Q48" s="306" t="str">
        <f>IF(J48="","",_xlfn.XLOOKUP(H48,'Emission Factors'!$M:$M,'Emission Factors'!$W:$W))</f>
        <v/>
      </c>
      <c r="R48" s="136"/>
      <c r="S48" s="67"/>
      <c r="T48" s="303" t="str">
        <f t="shared" si="10"/>
        <v/>
      </c>
      <c r="U48" s="303" t="str">
        <f>IF(J48="","",_xlfn.XLOOKUP(H48,'Emission Factors'!$M$432:$M$787,'Emission Factors'!$U$432:$U$787))</f>
        <v/>
      </c>
      <c r="V48" s="309" t="str">
        <f>IF($J48="","",IF(OR($J48="Litre",$J48="Tonne"),_xlfn.XLOOKUP(G48&amp;U48&amp;T48,Conversions!$E$20:$E$104,Conversions!$F$20:$F$104),INDEX(Conversions!$C$4:$I$10,MATCH('V1 - Fuels (Mobile)'!$T48,Conversions!$B$4:$B$10,0),MATCH('V1 - Fuels (Mobile)'!$U48,Conversions!$C$3:$I$3,0))))</f>
        <v/>
      </c>
      <c r="W48" s="309" t="str">
        <f>IF(J48="","",_xlfn.XLOOKUP(H48,'Emission Factors'!$M$432:$M$787,'Emission Factors'!$S$432:$S$787)*V48)</f>
        <v/>
      </c>
      <c r="X48" s="305" t="str">
        <f>IF(J48="","","kgCO2e/"&amp;T48)</f>
        <v/>
      </c>
      <c r="Y48" s="129" t="str">
        <f t="shared" si="11"/>
        <v/>
      </c>
      <c r="Z48" s="303" t="str">
        <f>IF(J48="","",_xlfn.XLOOKUP(H48,'Emission Factors'!$M$432:$M$787,'Emission Factors'!$W$432:$W$787))</f>
        <v/>
      </c>
      <c r="AA48" s="67"/>
      <c r="AB48" s="67"/>
      <c r="AC48" s="67"/>
      <c r="AD48" s="151"/>
    </row>
    <row r="49" spans="2:30">
      <c r="B49" s="166"/>
      <c r="C49" s="173"/>
      <c r="D49" s="123"/>
      <c r="E49" s="136"/>
      <c r="F49" s="131"/>
      <c r="G49" s="131"/>
      <c r="H49" s="132" t="str">
        <f t="shared" si="7"/>
        <v/>
      </c>
      <c r="I49" s="137"/>
      <c r="J49" s="131"/>
      <c r="K49" s="108" t="str">
        <f>IF(J49="","",J49)</f>
        <v/>
      </c>
      <c r="L49" s="306" t="str">
        <f>IF(J49="","",_xlfn.XLOOKUP(H49,'Emission Factors'!$M$71:$M$131,'Emission Factors'!$U$71:$U$131))</f>
        <v/>
      </c>
      <c r="M49" s="326" t="str">
        <f>IF($J49="","",IF(OR($J49="Litre",$J49="Tonne"),_xlfn.XLOOKUP(G49&amp;L49&amp;K49,Conversions!$E$20:$E$104,Conversions!$F$20:$F$104),INDEX(Conversions!$C$4:$I$10,MATCH('V1 - Fuels (Mobile)'!$K49,Conversions!$B$4:$B$10,0),MATCH('V1 - Fuels (Mobile)'!$L49,Conversions!$C$3:$I$3,0))))</f>
        <v/>
      </c>
      <c r="N49" s="310" t="str">
        <f>IF(J49="","",_xlfn.XLOOKUP(H49,'Emission Factors'!$M$71:$M$131,'Emission Factors'!$T$71:$T$131)*M49)</f>
        <v/>
      </c>
      <c r="O49" s="311" t="str">
        <f>IF(J49="","","kgCO2e/"&amp;K49)</f>
        <v/>
      </c>
      <c r="P49" s="134" t="str">
        <f t="shared" si="12"/>
        <v/>
      </c>
      <c r="Q49" s="306" t="str">
        <f>IF(J49="","",_xlfn.XLOOKUP(H49,'Emission Factors'!$M:$M,'Emission Factors'!$W:$W))</f>
        <v/>
      </c>
      <c r="R49" s="136"/>
      <c r="S49" s="67"/>
      <c r="T49" s="303" t="str">
        <f t="shared" si="10"/>
        <v/>
      </c>
      <c r="U49" s="303" t="str">
        <f>IF(J49="","",_xlfn.XLOOKUP(H49,'Emission Factors'!$M$432:$M$787,'Emission Factors'!$U$432:$U$787))</f>
        <v/>
      </c>
      <c r="V49" s="309" t="str">
        <f>IF($J49="","",IF(OR($J49="Litre",$J49="Tonne"),_xlfn.XLOOKUP(G49&amp;U49&amp;T49,Conversions!$E$20:$E$104,Conversions!$F$20:$F$104),INDEX(Conversions!$C$4:$I$10,MATCH('V1 - Fuels (Mobile)'!$T49,Conversions!$B$4:$B$10,0),MATCH('V1 - Fuels (Mobile)'!$U49,Conversions!$C$3:$I$3,0))))</f>
        <v/>
      </c>
      <c r="W49" s="309" t="str">
        <f>IF(J49="","",_xlfn.XLOOKUP(H49,'Emission Factors'!$M$432:$M$787,'Emission Factors'!$S$432:$S$787)*V49)</f>
        <v/>
      </c>
      <c r="X49" s="305" t="str">
        <f>IF(J49="","","kgCO2e/"&amp;T49)</f>
        <v/>
      </c>
      <c r="Y49" s="129" t="str">
        <f t="shared" si="11"/>
        <v/>
      </c>
      <c r="Z49" s="303" t="str">
        <f>IF(J49="","",_xlfn.XLOOKUP(H49,'Emission Factors'!$M$432:$M$787,'Emission Factors'!$W$432:$W$787))</f>
        <v/>
      </c>
      <c r="AA49" s="67"/>
      <c r="AB49" s="67"/>
      <c r="AC49" s="67"/>
      <c r="AD49" s="151"/>
    </row>
    <row r="50" spans="2:30">
      <c r="B50" s="166"/>
      <c r="C50" s="173"/>
      <c r="D50" s="123"/>
      <c r="E50" s="136"/>
      <c r="F50" s="131"/>
      <c r="G50" s="131"/>
      <c r="H50" s="132" t="str">
        <f t="shared" si="7"/>
        <v/>
      </c>
      <c r="I50" s="137"/>
      <c r="J50" s="131"/>
      <c r="K50" s="108" t="str">
        <f t="shared" si="15"/>
        <v/>
      </c>
      <c r="L50" s="306" t="str">
        <f>IF(J50="","",_xlfn.XLOOKUP(H50,'Emission Factors'!$M$71:$M$131,'Emission Factors'!$U$71:$U$131))</f>
        <v/>
      </c>
      <c r="M50" s="326" t="str">
        <f>IF($J50="","",IF(OR($J50="Litre",$J50="Tonne"),_xlfn.XLOOKUP(G50&amp;L50&amp;K50,Conversions!$E$20:$E$104,Conversions!$F$20:$F$104),INDEX(Conversions!$C$4:$I$10,MATCH('V1 - Fuels (Mobile)'!$K50,Conversions!$B$4:$B$10,0),MATCH('V1 - Fuels (Mobile)'!$L50,Conversions!$C$3:$I$3,0))))</f>
        <v/>
      </c>
      <c r="N50" s="310" t="str">
        <f>IF(J50="","",_xlfn.XLOOKUP(H50,'Emission Factors'!$M$71:$M$131,'Emission Factors'!$T$71:$T$131)*M50)</f>
        <v/>
      </c>
      <c r="O50" s="311" t="str">
        <f t="shared" si="13"/>
        <v/>
      </c>
      <c r="P50" s="134" t="str">
        <f t="shared" si="12"/>
        <v/>
      </c>
      <c r="Q50" s="306" t="str">
        <f>IF(J50="","",_xlfn.XLOOKUP(H50,'Emission Factors'!$M:$M,'Emission Factors'!$W:$W))</f>
        <v/>
      </c>
      <c r="R50" s="136"/>
      <c r="S50" s="67"/>
      <c r="T50" s="303" t="str">
        <f t="shared" si="10"/>
        <v/>
      </c>
      <c r="U50" s="303" t="str">
        <f>IF(J50="","",_xlfn.XLOOKUP(H50,'Emission Factors'!$M$432:$M$787,'Emission Factors'!$U$432:$U$787))</f>
        <v/>
      </c>
      <c r="V50" s="309" t="str">
        <f>IF($J50="","",IF(OR($J50="Litre",$J50="Tonne"),_xlfn.XLOOKUP(G50&amp;U50&amp;T50,Conversions!$E$20:$E$104,Conversions!$F$20:$F$104),INDEX(Conversions!$C$4:$I$10,MATCH('V1 - Fuels (Mobile)'!$T50,Conversions!$B$4:$B$10,0),MATCH('V1 - Fuels (Mobile)'!$U50,Conversions!$C$3:$I$3,0))))</f>
        <v/>
      </c>
      <c r="W50" s="309" t="str">
        <f>IF(J50="","",_xlfn.XLOOKUP(H50,'Emission Factors'!$M$432:$M$787,'Emission Factors'!$S$432:$S$787)*V50)</f>
        <v/>
      </c>
      <c r="X50" s="305" t="str">
        <f t="shared" si="14"/>
        <v/>
      </c>
      <c r="Y50" s="129" t="str">
        <f t="shared" si="11"/>
        <v/>
      </c>
      <c r="Z50" s="303" t="str">
        <f>IF(J50="","",_xlfn.XLOOKUP(H50,'Emission Factors'!$M$432:$M$787,'Emission Factors'!$W$432:$W$787))</f>
        <v/>
      </c>
      <c r="AA50" s="67"/>
      <c r="AB50" s="67"/>
      <c r="AC50" s="67"/>
      <c r="AD50" s="151"/>
    </row>
    <row r="51" spans="2:30">
      <c r="B51" s="166"/>
      <c r="C51" s="173"/>
      <c r="D51" s="123"/>
      <c r="E51" s="136"/>
      <c r="F51" s="131"/>
      <c r="G51" s="131"/>
      <c r="H51" s="132" t="str">
        <f t="shared" si="7"/>
        <v/>
      </c>
      <c r="I51" s="137"/>
      <c r="J51" s="131"/>
      <c r="K51" s="108" t="str">
        <f t="shared" si="15"/>
        <v/>
      </c>
      <c r="L51" s="306" t="str">
        <f>IF(J51="","",_xlfn.XLOOKUP(H51,'Emission Factors'!$M$71:$M$131,'Emission Factors'!$U$71:$U$131))</f>
        <v/>
      </c>
      <c r="M51" s="326" t="str">
        <f>IF($J51="","",IF(OR($J51="Litre",$J51="Tonne"),_xlfn.XLOOKUP(G51&amp;L51&amp;K51,Conversions!$E$20:$E$104,Conversions!$F$20:$F$104),INDEX(Conversions!$C$4:$I$10,MATCH('V1 - Fuels (Mobile)'!$K51,Conversions!$B$4:$B$10,0),MATCH('V1 - Fuels (Mobile)'!$L51,Conversions!$C$3:$I$3,0))))</f>
        <v/>
      </c>
      <c r="N51" s="310" t="str">
        <f>IF(J51="","",_xlfn.XLOOKUP(H51,'Emission Factors'!$M$71:$M$131,'Emission Factors'!$T$71:$T$131)*M51)</f>
        <v/>
      </c>
      <c r="O51" s="311" t="str">
        <f t="shared" si="13"/>
        <v/>
      </c>
      <c r="P51" s="134" t="str">
        <f t="shared" si="12"/>
        <v/>
      </c>
      <c r="Q51" s="306" t="str">
        <f>IF(J51="","",_xlfn.XLOOKUP(H51,'Emission Factors'!$M:$M,'Emission Factors'!$W:$W))</f>
        <v/>
      </c>
      <c r="R51" s="136"/>
      <c r="S51" s="67"/>
      <c r="T51" s="303" t="str">
        <f t="shared" si="10"/>
        <v/>
      </c>
      <c r="U51" s="303" t="str">
        <f>IF(J51="","",_xlfn.XLOOKUP(H51,'Emission Factors'!$M$432:$M$787,'Emission Factors'!$U$432:$U$787))</f>
        <v/>
      </c>
      <c r="V51" s="309" t="str">
        <f>IF($J51="","",IF(OR($J51="Litre",$J51="Tonne"),_xlfn.XLOOKUP(G51&amp;U51&amp;T51,Conversions!$E$20:$E$104,Conversions!$F$20:$F$104),INDEX(Conversions!$C$4:$I$10,MATCH('V1 - Fuels (Mobile)'!$T51,Conversions!$B$4:$B$10,0),MATCH('V1 - Fuels (Mobile)'!$U51,Conversions!$C$3:$I$3,0))))</f>
        <v/>
      </c>
      <c r="W51" s="309" t="str">
        <f>IF(J51="","",_xlfn.XLOOKUP(H51,'Emission Factors'!$M$432:$M$787,'Emission Factors'!$S$432:$S$787)*V51)</f>
        <v/>
      </c>
      <c r="X51" s="305" t="str">
        <f t="shared" si="14"/>
        <v/>
      </c>
      <c r="Y51" s="129" t="str">
        <f t="shared" si="11"/>
        <v/>
      </c>
      <c r="Z51" s="303" t="str">
        <f>IF(J51="","",_xlfn.XLOOKUP(H51,'Emission Factors'!$M$432:$M$787,'Emission Factors'!$W$432:$W$787))</f>
        <v/>
      </c>
      <c r="AA51" s="67"/>
      <c r="AB51" s="67"/>
      <c r="AC51" s="67"/>
      <c r="AD51" s="151"/>
    </row>
    <row r="52" spans="2:30">
      <c r="B52" s="166"/>
      <c r="C52" s="173"/>
      <c r="D52" s="123"/>
      <c r="E52" s="136"/>
      <c r="F52" s="131"/>
      <c r="G52" s="131"/>
      <c r="H52" s="132" t="str">
        <f t="shared" si="7"/>
        <v/>
      </c>
      <c r="I52" s="137"/>
      <c r="J52" s="131"/>
      <c r="K52" s="108" t="str">
        <f t="shared" si="15"/>
        <v/>
      </c>
      <c r="L52" s="306" t="str">
        <f>IF(J52="","",_xlfn.XLOOKUP(H52,'Emission Factors'!$M$71:$M$131,'Emission Factors'!$U$71:$U$131))</f>
        <v/>
      </c>
      <c r="M52" s="326" t="str">
        <f>IF($J52="","",IF(OR($J52="Litre",$J52="Tonne"),_xlfn.XLOOKUP(G52&amp;L52&amp;K52,Conversions!$E$20:$E$104,Conversions!$F$20:$F$104),INDEX(Conversions!$C$4:$I$10,MATCH('V1 - Fuels (Mobile)'!$K52,Conversions!$B$4:$B$10,0),MATCH('V1 - Fuels (Mobile)'!$L52,Conversions!$C$3:$I$3,0))))</f>
        <v/>
      </c>
      <c r="N52" s="310" t="str">
        <f>IF(J52="","",_xlfn.XLOOKUP(H52,'Emission Factors'!$M$71:$M$131,'Emission Factors'!$T$71:$T$131)*M52)</f>
        <v/>
      </c>
      <c r="O52" s="311" t="str">
        <f t="shared" si="13"/>
        <v/>
      </c>
      <c r="P52" s="134" t="str">
        <f t="shared" si="12"/>
        <v/>
      </c>
      <c r="Q52" s="306" t="str">
        <f>IF(J52="","",_xlfn.XLOOKUP(H52,'Emission Factors'!$M:$M,'Emission Factors'!$W:$W))</f>
        <v/>
      </c>
      <c r="R52" s="136"/>
      <c r="S52" s="67"/>
      <c r="T52" s="303" t="str">
        <f t="shared" si="10"/>
        <v/>
      </c>
      <c r="U52" s="303" t="str">
        <f>IF(J52="","",_xlfn.XLOOKUP(H52,'Emission Factors'!$M$432:$M$787,'Emission Factors'!$U$432:$U$787))</f>
        <v/>
      </c>
      <c r="V52" s="309" t="str">
        <f>IF($J52="","",IF(OR($J52="Litre",$J52="Tonne"),_xlfn.XLOOKUP(G52&amp;U52&amp;T52,Conversions!$E$20:$E$104,Conversions!$F$20:$F$104),INDEX(Conversions!$C$4:$I$10,MATCH('V1 - Fuels (Mobile)'!$T52,Conversions!$B$4:$B$10,0),MATCH('V1 - Fuels (Mobile)'!$U52,Conversions!$C$3:$I$3,0))))</f>
        <v/>
      </c>
      <c r="W52" s="309" t="str">
        <f>IF(J52="","",_xlfn.XLOOKUP(H52,'Emission Factors'!$M$432:$M$787,'Emission Factors'!$S$432:$S$787)*V52)</f>
        <v/>
      </c>
      <c r="X52" s="305" t="str">
        <f t="shared" si="14"/>
        <v/>
      </c>
      <c r="Y52" s="129" t="str">
        <f t="shared" si="11"/>
        <v/>
      </c>
      <c r="Z52" s="303" t="str">
        <f>IF(J52="","",_xlfn.XLOOKUP(H52,'Emission Factors'!$M$432:$M$787,'Emission Factors'!$W$432:$W$787))</f>
        <v/>
      </c>
      <c r="AA52" s="67"/>
      <c r="AB52" s="67"/>
      <c r="AC52" s="67"/>
      <c r="AD52" s="151"/>
    </row>
    <row r="53" spans="2:30">
      <c r="B53" s="166"/>
      <c r="C53" s="173"/>
      <c r="D53" s="123"/>
      <c r="E53" s="136"/>
      <c r="F53" s="131"/>
      <c r="G53" s="131"/>
      <c r="H53" s="132" t="str">
        <f t="shared" si="7"/>
        <v/>
      </c>
      <c r="I53" s="137"/>
      <c r="J53" s="131"/>
      <c r="K53" s="108" t="str">
        <f t="shared" si="15"/>
        <v/>
      </c>
      <c r="L53" s="306" t="str">
        <f>IF(J53="","",_xlfn.XLOOKUP(H53,'Emission Factors'!$M$71:$M$131,'Emission Factors'!$U$71:$U$131))</f>
        <v/>
      </c>
      <c r="M53" s="326" t="str">
        <f>IF($J53="","",IF(OR($J53="Litre",$J53="Tonne"),_xlfn.XLOOKUP(G53&amp;L53&amp;K53,Conversions!$E$20:$E$104,Conversions!$F$20:$F$104),INDEX(Conversions!$C$4:$I$10,MATCH('V1 - Fuels (Mobile)'!$K53,Conversions!$B$4:$B$10,0),MATCH('V1 - Fuels (Mobile)'!$L53,Conversions!$C$3:$I$3,0))))</f>
        <v/>
      </c>
      <c r="N53" s="310" t="str">
        <f>IF(J53="","",_xlfn.XLOOKUP(H53,'Emission Factors'!$M$71:$M$131,'Emission Factors'!$T$71:$T$131)*M53)</f>
        <v/>
      </c>
      <c r="O53" s="311" t="str">
        <f t="shared" si="13"/>
        <v/>
      </c>
      <c r="P53" s="134" t="str">
        <f t="shared" si="12"/>
        <v/>
      </c>
      <c r="Q53" s="306" t="str">
        <f>IF(J53="","",_xlfn.XLOOKUP(H53,'Emission Factors'!$M:$M,'Emission Factors'!$W:$W))</f>
        <v/>
      </c>
      <c r="R53" s="136"/>
      <c r="S53" s="67"/>
      <c r="T53" s="303" t="str">
        <f t="shared" si="10"/>
        <v/>
      </c>
      <c r="U53" s="303" t="str">
        <f>IF(J53="","",_xlfn.XLOOKUP(H53,'Emission Factors'!$M$432:$M$787,'Emission Factors'!$U$432:$U$787))</f>
        <v/>
      </c>
      <c r="V53" s="309" t="str">
        <f>IF($J53="","",IF(OR($J53="Litre",$J53="Tonne"),_xlfn.XLOOKUP(G53&amp;U53&amp;T53,Conversions!$E$20:$E$104,Conversions!$F$20:$F$104),INDEX(Conversions!$C$4:$I$10,MATCH('V1 - Fuels (Mobile)'!$T53,Conversions!$B$4:$B$10,0),MATCH('V1 - Fuels (Mobile)'!$U53,Conversions!$C$3:$I$3,0))))</f>
        <v/>
      </c>
      <c r="W53" s="309" t="str">
        <f>IF(J53="","",_xlfn.XLOOKUP(H53,'Emission Factors'!$M$432:$M$787,'Emission Factors'!$S$432:$S$787)*V53)</f>
        <v/>
      </c>
      <c r="X53" s="305" t="str">
        <f t="shared" si="14"/>
        <v/>
      </c>
      <c r="Y53" s="129" t="str">
        <f t="shared" si="11"/>
        <v/>
      </c>
      <c r="Z53" s="303" t="str">
        <f>IF(J53="","",_xlfn.XLOOKUP(H53,'Emission Factors'!$M$432:$M$787,'Emission Factors'!$W$432:$W$787))</f>
        <v/>
      </c>
      <c r="AA53" s="67"/>
      <c r="AB53" s="67"/>
      <c r="AC53" s="67"/>
      <c r="AD53" s="151"/>
    </row>
    <row r="54" spans="2:30">
      <c r="B54" s="166"/>
      <c r="C54" s="173"/>
      <c r="D54" s="123"/>
      <c r="E54" s="136"/>
      <c r="F54" s="131"/>
      <c r="G54" s="131"/>
      <c r="H54" s="132" t="str">
        <f t="shared" si="7"/>
        <v/>
      </c>
      <c r="I54" s="137"/>
      <c r="J54" s="131"/>
      <c r="K54" s="108" t="str">
        <f t="shared" si="15"/>
        <v/>
      </c>
      <c r="L54" s="306" t="str">
        <f>IF(J54="","",_xlfn.XLOOKUP(H54,'Emission Factors'!$M$71:$M$131,'Emission Factors'!$U$71:$U$131))</f>
        <v/>
      </c>
      <c r="M54" s="326" t="str">
        <f>IF($J54="","",IF(OR($J54="Litre",$J54="Tonne"),_xlfn.XLOOKUP(G54&amp;L54&amp;K54,Conversions!$E$20:$E$104,Conversions!$F$20:$F$104),INDEX(Conversions!$C$4:$I$10,MATCH('V1 - Fuels (Mobile)'!$K54,Conversions!$B$4:$B$10,0),MATCH('V1 - Fuels (Mobile)'!$L54,Conversions!$C$3:$I$3,0))))</f>
        <v/>
      </c>
      <c r="N54" s="310" t="str">
        <f>IF(J54="","",_xlfn.XLOOKUP(H54,'Emission Factors'!$M$71:$M$131,'Emission Factors'!$T$71:$T$131)*M54)</f>
        <v/>
      </c>
      <c r="O54" s="311" t="str">
        <f t="shared" si="13"/>
        <v/>
      </c>
      <c r="P54" s="134" t="str">
        <f t="shared" si="12"/>
        <v/>
      </c>
      <c r="Q54" s="306" t="str">
        <f>IF(J54="","",_xlfn.XLOOKUP(H54,'Emission Factors'!$M:$M,'Emission Factors'!$W:$W))</f>
        <v/>
      </c>
      <c r="R54" s="136"/>
      <c r="S54" s="67"/>
      <c r="T54" s="303" t="str">
        <f t="shared" si="10"/>
        <v/>
      </c>
      <c r="U54" s="303" t="str">
        <f>IF(J54="","",_xlfn.XLOOKUP(H54,'Emission Factors'!$M$432:$M$787,'Emission Factors'!$U$432:$U$787))</f>
        <v/>
      </c>
      <c r="V54" s="309" t="str">
        <f>IF($J54="","",IF(OR($J54="Litre",$J54="Tonne"),_xlfn.XLOOKUP(G54&amp;U54&amp;T54,Conversions!$E$20:$E$104,Conversions!$F$20:$F$104),INDEX(Conversions!$C$4:$I$10,MATCH('V1 - Fuels (Mobile)'!$T54,Conversions!$B$4:$B$10,0),MATCH('V1 - Fuels (Mobile)'!$U54,Conversions!$C$3:$I$3,0))))</f>
        <v/>
      </c>
      <c r="W54" s="309" t="str">
        <f>IF(J54="","",_xlfn.XLOOKUP(H54,'Emission Factors'!$M$432:$M$787,'Emission Factors'!$S$432:$S$787)*V54)</f>
        <v/>
      </c>
      <c r="X54" s="305" t="str">
        <f t="shared" si="14"/>
        <v/>
      </c>
      <c r="Y54" s="129" t="str">
        <f t="shared" si="11"/>
        <v/>
      </c>
      <c r="Z54" s="303" t="str">
        <f>IF(J54="","",_xlfn.XLOOKUP(H54,'Emission Factors'!$M$432:$M$787,'Emission Factors'!$W$432:$W$787))</f>
        <v/>
      </c>
      <c r="AA54" s="67"/>
      <c r="AB54" s="67"/>
      <c r="AC54" s="67"/>
      <c r="AD54" s="151"/>
    </row>
    <row r="55" spans="2:30">
      <c r="B55" s="166"/>
      <c r="C55" s="173"/>
      <c r="D55" s="123"/>
      <c r="E55" s="136"/>
      <c r="F55" s="131"/>
      <c r="G55" s="131"/>
      <c r="H55" s="132" t="str">
        <f t="shared" si="7"/>
        <v/>
      </c>
      <c r="I55" s="137"/>
      <c r="J55" s="131"/>
      <c r="K55" s="108" t="str">
        <f t="shared" si="15"/>
        <v/>
      </c>
      <c r="L55" s="306" t="str">
        <f>IF(J55="","",_xlfn.XLOOKUP(H55,'Emission Factors'!$M$71:$M$131,'Emission Factors'!$U$71:$U$131))</f>
        <v/>
      </c>
      <c r="M55" s="326" t="str">
        <f>IF($J55="","",IF(OR($J55="Litre",$J55="Tonne"),_xlfn.XLOOKUP(G55&amp;L55&amp;K55,Conversions!$E$20:$E$104,Conversions!$F$20:$F$104),INDEX(Conversions!$C$4:$I$10,MATCH('V1 - Fuels (Mobile)'!$K55,Conversions!$B$4:$B$10,0),MATCH('V1 - Fuels (Mobile)'!$L55,Conversions!$C$3:$I$3,0))))</f>
        <v/>
      </c>
      <c r="N55" s="310" t="str">
        <f>IF(J55="","",_xlfn.XLOOKUP(H55,'Emission Factors'!$M$71:$M$131,'Emission Factors'!$T$71:$T$131)*M55)</f>
        <v/>
      </c>
      <c r="O55" s="311" t="str">
        <f t="shared" si="13"/>
        <v/>
      </c>
      <c r="P55" s="134" t="str">
        <f t="shared" si="12"/>
        <v/>
      </c>
      <c r="Q55" s="306" t="str">
        <f>IF(J55="","",_xlfn.XLOOKUP(H55,'Emission Factors'!$M:$M,'Emission Factors'!$W:$W))</f>
        <v/>
      </c>
      <c r="R55" s="136"/>
      <c r="S55" s="67"/>
      <c r="T55" s="303" t="str">
        <f t="shared" si="10"/>
        <v/>
      </c>
      <c r="U55" s="303" t="str">
        <f>IF(J55="","",_xlfn.XLOOKUP(H55,'Emission Factors'!$M$432:$M$787,'Emission Factors'!$U$432:$U$787))</f>
        <v/>
      </c>
      <c r="V55" s="309" t="str">
        <f>IF($J55="","",IF(OR($J55="Litre",$J55="Tonne"),_xlfn.XLOOKUP(G55&amp;U55&amp;T55,Conversions!$E$20:$E$104,Conversions!$F$20:$F$104),INDEX(Conversions!$C$4:$I$10,MATCH('V1 - Fuels (Mobile)'!$T55,Conversions!$B$4:$B$10,0),MATCH('V1 - Fuels (Mobile)'!$U55,Conversions!$C$3:$I$3,0))))</f>
        <v/>
      </c>
      <c r="W55" s="309" t="str">
        <f>IF(J55="","",_xlfn.XLOOKUP(H55,'Emission Factors'!$M$432:$M$787,'Emission Factors'!$S$432:$S$787)*V55)</f>
        <v/>
      </c>
      <c r="X55" s="305" t="str">
        <f t="shared" si="14"/>
        <v/>
      </c>
      <c r="Y55" s="129" t="str">
        <f t="shared" si="11"/>
        <v/>
      </c>
      <c r="Z55" s="303" t="str">
        <f>IF(J55="","",_xlfn.XLOOKUP(H55,'Emission Factors'!$M$432:$M$787,'Emission Factors'!$W$432:$W$787))</f>
        <v/>
      </c>
      <c r="AA55" s="67"/>
      <c r="AB55" s="67"/>
      <c r="AC55" s="67"/>
      <c r="AD55" s="151"/>
    </row>
    <row r="56" spans="2:30">
      <c r="B56" s="166"/>
      <c r="C56" s="173"/>
      <c r="D56" s="123"/>
      <c r="E56" s="136"/>
      <c r="F56" s="131"/>
      <c r="G56" s="131"/>
      <c r="H56" s="132" t="str">
        <f t="shared" si="7"/>
        <v/>
      </c>
      <c r="I56" s="137"/>
      <c r="J56" s="131"/>
      <c r="K56" s="108" t="str">
        <f t="shared" si="15"/>
        <v/>
      </c>
      <c r="L56" s="306" t="str">
        <f>IF(J56="","",_xlfn.XLOOKUP(H56,'Emission Factors'!$M$71:$M$131,'Emission Factors'!$U$71:$U$131))</f>
        <v/>
      </c>
      <c r="M56" s="326" t="str">
        <f>IF($J56="","",IF(OR($J56="Litre",$J56="Tonne"),_xlfn.XLOOKUP(G56&amp;L56&amp;K56,Conversions!$E$20:$E$104,Conversions!$F$20:$F$104),INDEX(Conversions!$C$4:$I$10,MATCH('V1 - Fuels (Mobile)'!$K56,Conversions!$B$4:$B$10,0),MATCH('V1 - Fuels (Mobile)'!$L56,Conversions!$C$3:$I$3,0))))</f>
        <v/>
      </c>
      <c r="N56" s="310" t="str">
        <f>IF(J56="","",_xlfn.XLOOKUP(H56,'Emission Factors'!$M$71:$M$131,'Emission Factors'!$T$71:$T$131)*M56)</f>
        <v/>
      </c>
      <c r="O56" s="311" t="str">
        <f t="shared" si="13"/>
        <v/>
      </c>
      <c r="P56" s="134" t="str">
        <f t="shared" si="12"/>
        <v/>
      </c>
      <c r="Q56" s="306" t="str">
        <f>IF(J56="","",_xlfn.XLOOKUP(H56,'Emission Factors'!$M:$M,'Emission Factors'!$W:$W))</f>
        <v/>
      </c>
      <c r="R56" s="136"/>
      <c r="S56" s="67"/>
      <c r="T56" s="303" t="str">
        <f t="shared" si="10"/>
        <v/>
      </c>
      <c r="U56" s="303" t="str">
        <f>IF(J56="","",_xlfn.XLOOKUP(H56,'Emission Factors'!$M$432:$M$787,'Emission Factors'!$U$432:$U$787))</f>
        <v/>
      </c>
      <c r="V56" s="309" t="str">
        <f>IF($J56="","",IF(OR($J56="Litre",$J56="Tonne"),_xlfn.XLOOKUP(G56&amp;U56&amp;T56,Conversions!$E$20:$E$104,Conversions!$F$20:$F$104),INDEX(Conversions!$C$4:$I$10,MATCH('V1 - Fuels (Mobile)'!$T56,Conversions!$B$4:$B$10,0),MATCH('V1 - Fuels (Mobile)'!$U56,Conversions!$C$3:$I$3,0))))</f>
        <v/>
      </c>
      <c r="W56" s="309" t="str">
        <f>IF(J56="","",_xlfn.XLOOKUP(H56,'Emission Factors'!$M$432:$M$787,'Emission Factors'!$S$432:$S$787)*V56)</f>
        <v/>
      </c>
      <c r="X56" s="305" t="str">
        <f t="shared" si="14"/>
        <v/>
      </c>
      <c r="Y56" s="129" t="str">
        <f t="shared" si="11"/>
        <v/>
      </c>
      <c r="Z56" s="303" t="str">
        <f>IF(J56="","",_xlfn.XLOOKUP(H56,'Emission Factors'!$M$432:$M$787,'Emission Factors'!$W$432:$W$787))</f>
        <v/>
      </c>
      <c r="AA56" s="67"/>
      <c r="AB56" s="67"/>
      <c r="AC56" s="67"/>
      <c r="AD56" s="151"/>
    </row>
    <row r="57" spans="2:30">
      <c r="B57" s="166"/>
      <c r="C57" s="173"/>
      <c r="D57" s="123"/>
      <c r="E57" s="136"/>
      <c r="F57" s="131"/>
      <c r="G57" s="131"/>
      <c r="H57" s="132" t="str">
        <f t="shared" si="7"/>
        <v/>
      </c>
      <c r="I57" s="137"/>
      <c r="J57" s="131"/>
      <c r="K57" s="108" t="str">
        <f t="shared" si="15"/>
        <v/>
      </c>
      <c r="L57" s="306" t="str">
        <f>IF(J57="","",_xlfn.XLOOKUP(H57,'Emission Factors'!$M$71:$M$131,'Emission Factors'!$U$71:$U$131))</f>
        <v/>
      </c>
      <c r="M57" s="326" t="str">
        <f>IF($J57="","",IF(OR($J57="Litre",$J57="Tonne"),_xlfn.XLOOKUP(G57&amp;L57&amp;K57,Conversions!$E$20:$E$104,Conversions!$F$20:$F$104),INDEX(Conversions!$C$4:$I$10,MATCH('V1 - Fuels (Mobile)'!$K57,Conversions!$B$4:$B$10,0),MATCH('V1 - Fuels (Mobile)'!$L57,Conversions!$C$3:$I$3,0))))</f>
        <v/>
      </c>
      <c r="N57" s="310" t="str">
        <f>IF(J57="","",_xlfn.XLOOKUP(H57,'Emission Factors'!$M$71:$M$131,'Emission Factors'!$T$71:$T$131)*M57)</f>
        <v/>
      </c>
      <c r="O57" s="311" t="str">
        <f t="shared" si="13"/>
        <v/>
      </c>
      <c r="P57" s="134" t="str">
        <f t="shared" si="12"/>
        <v/>
      </c>
      <c r="Q57" s="306" t="str">
        <f>IF(J57="","",_xlfn.XLOOKUP(H57,'Emission Factors'!$M:$M,'Emission Factors'!$W:$W))</f>
        <v/>
      </c>
      <c r="R57" s="136"/>
      <c r="S57" s="67"/>
      <c r="T57" s="303" t="str">
        <f t="shared" si="10"/>
        <v/>
      </c>
      <c r="U57" s="303" t="str">
        <f>IF(J57="","",_xlfn.XLOOKUP(H57,'Emission Factors'!$M$432:$M$787,'Emission Factors'!$U$432:$U$787))</f>
        <v/>
      </c>
      <c r="V57" s="309" t="str">
        <f>IF($J57="","",IF(OR($J57="Litre",$J57="Tonne"),_xlfn.XLOOKUP(G57&amp;U57&amp;T57,Conversions!$E$20:$E$104,Conversions!$F$20:$F$104),INDEX(Conversions!$C$4:$I$10,MATCH('V1 - Fuels (Mobile)'!$T57,Conversions!$B$4:$B$10,0),MATCH('V1 - Fuels (Mobile)'!$U57,Conversions!$C$3:$I$3,0))))</f>
        <v/>
      </c>
      <c r="W57" s="309" t="str">
        <f>IF(J57="","",_xlfn.XLOOKUP(H57,'Emission Factors'!$M$432:$M$787,'Emission Factors'!$S$432:$S$787)*V57)</f>
        <v/>
      </c>
      <c r="X57" s="305" t="str">
        <f t="shared" si="14"/>
        <v/>
      </c>
      <c r="Y57" s="129" t="str">
        <f t="shared" si="11"/>
        <v/>
      </c>
      <c r="Z57" s="303" t="str">
        <f>IF(J57="","",_xlfn.XLOOKUP(H57,'Emission Factors'!$M$432:$M$787,'Emission Factors'!$W$432:$W$787))</f>
        <v/>
      </c>
      <c r="AA57" s="67"/>
      <c r="AB57" s="67"/>
      <c r="AC57" s="67"/>
      <c r="AD57" s="151"/>
    </row>
    <row r="58" spans="2:30">
      <c r="B58" s="166"/>
      <c r="C58" s="173"/>
      <c r="D58" s="123"/>
      <c r="E58" s="136"/>
      <c r="F58" s="131"/>
      <c r="G58" s="131"/>
      <c r="H58" s="132" t="str">
        <f t="shared" si="7"/>
        <v/>
      </c>
      <c r="I58" s="137"/>
      <c r="J58" s="131"/>
      <c r="K58" s="108" t="str">
        <f t="shared" si="15"/>
        <v/>
      </c>
      <c r="L58" s="306" t="str">
        <f>IF(J58="","",_xlfn.XLOOKUP(H58,'Emission Factors'!$M$71:$M$131,'Emission Factors'!$U$71:$U$131))</f>
        <v/>
      </c>
      <c r="M58" s="326" t="str">
        <f>IF($J58="","",IF(OR($J58="Litre",$J58="Tonne"),_xlfn.XLOOKUP(G58&amp;L58&amp;K58,Conversions!$E$20:$E$104,Conversions!$F$20:$F$104),INDEX(Conversions!$C$4:$I$10,MATCH('V1 - Fuels (Mobile)'!$K58,Conversions!$B$4:$B$10,0),MATCH('V1 - Fuels (Mobile)'!$L58,Conversions!$C$3:$I$3,0))))</f>
        <v/>
      </c>
      <c r="N58" s="310" t="str">
        <f>IF(J58="","",_xlfn.XLOOKUP(H58,'Emission Factors'!$M$71:$M$131,'Emission Factors'!$T$71:$T$131)*M58)</f>
        <v/>
      </c>
      <c r="O58" s="311" t="str">
        <f t="shared" si="13"/>
        <v/>
      </c>
      <c r="P58" s="134" t="str">
        <f t="shared" si="12"/>
        <v/>
      </c>
      <c r="Q58" s="306" t="str">
        <f>IF(J58="","",_xlfn.XLOOKUP(H58,'Emission Factors'!$M:$M,'Emission Factors'!$W:$W))</f>
        <v/>
      </c>
      <c r="R58" s="136"/>
      <c r="S58" s="67"/>
      <c r="T58" s="303" t="str">
        <f t="shared" si="10"/>
        <v/>
      </c>
      <c r="U58" s="303" t="str">
        <f>IF(J58="","",_xlfn.XLOOKUP(H58,'Emission Factors'!$M$432:$M$787,'Emission Factors'!$U$432:$U$787))</f>
        <v/>
      </c>
      <c r="V58" s="309" t="str">
        <f>IF($J58="","",IF(OR($J58="Litre",$J58="Tonne"),_xlfn.XLOOKUP(G58&amp;U58&amp;T58,Conversions!$E$20:$E$104,Conversions!$F$20:$F$104),INDEX(Conversions!$C$4:$I$10,MATCH('V1 - Fuels (Mobile)'!$T58,Conversions!$B$4:$B$10,0),MATCH('V1 - Fuels (Mobile)'!$U58,Conversions!$C$3:$I$3,0))))</f>
        <v/>
      </c>
      <c r="W58" s="309" t="str">
        <f>IF(J58="","",_xlfn.XLOOKUP(H58,'Emission Factors'!$M$432:$M$787,'Emission Factors'!$S$432:$S$787)*V58)</f>
        <v/>
      </c>
      <c r="X58" s="305" t="str">
        <f t="shared" si="14"/>
        <v/>
      </c>
      <c r="Y58" s="129" t="str">
        <f t="shared" si="11"/>
        <v/>
      </c>
      <c r="Z58" s="303" t="str">
        <f>IF(J58="","",_xlfn.XLOOKUP(H58,'Emission Factors'!$M$432:$M$787,'Emission Factors'!$W$432:$W$787))</f>
        <v/>
      </c>
      <c r="AA58" s="67"/>
      <c r="AB58" s="67"/>
      <c r="AC58" s="67"/>
      <c r="AD58" s="151"/>
    </row>
    <row r="59" spans="2:30">
      <c r="B59" s="166"/>
      <c r="C59" s="173"/>
      <c r="D59" s="123"/>
      <c r="E59" s="136"/>
      <c r="F59" s="131"/>
      <c r="G59" s="131"/>
      <c r="H59" s="132" t="str">
        <f t="shared" si="7"/>
        <v/>
      </c>
      <c r="I59" s="137"/>
      <c r="J59" s="131"/>
      <c r="K59" s="108" t="str">
        <f t="shared" si="15"/>
        <v/>
      </c>
      <c r="L59" s="306" t="str">
        <f>IF(J59="","",_xlfn.XLOOKUP(H59,'Emission Factors'!$M$71:$M$131,'Emission Factors'!$U$71:$U$131))</f>
        <v/>
      </c>
      <c r="M59" s="326" t="str">
        <f>IF($J59="","",IF(OR($J59="Litre",$J59="Tonne"),_xlfn.XLOOKUP(G59&amp;L59&amp;K59,Conversions!$E$20:$E$104,Conversions!$F$20:$F$104),INDEX(Conversions!$C$4:$I$10,MATCH('V1 - Fuels (Mobile)'!$K59,Conversions!$B$4:$B$10,0),MATCH('V1 - Fuels (Mobile)'!$L59,Conversions!$C$3:$I$3,0))))</f>
        <v/>
      </c>
      <c r="N59" s="310" t="str">
        <f>IF(J59="","",_xlfn.XLOOKUP(H59,'Emission Factors'!$M$71:$M$131,'Emission Factors'!$T$71:$T$131)*M59)</f>
        <v/>
      </c>
      <c r="O59" s="311" t="str">
        <f t="shared" si="13"/>
        <v/>
      </c>
      <c r="P59" s="134" t="str">
        <f t="shared" si="12"/>
        <v/>
      </c>
      <c r="Q59" s="306" t="str">
        <f>IF(J59="","",_xlfn.XLOOKUP(H59,'Emission Factors'!$M:$M,'Emission Factors'!$W:$W))</f>
        <v/>
      </c>
      <c r="R59" s="136"/>
      <c r="S59" s="67"/>
      <c r="T59" s="303" t="str">
        <f t="shared" si="10"/>
        <v/>
      </c>
      <c r="U59" s="303" t="str">
        <f>IF(J59="","",_xlfn.XLOOKUP(H59,'Emission Factors'!$M$432:$M$787,'Emission Factors'!$U$432:$U$787))</f>
        <v/>
      </c>
      <c r="V59" s="309" t="str">
        <f>IF($J59="","",IF(OR($J59="Litre",$J59="Tonne"),_xlfn.XLOOKUP(G59&amp;U59&amp;T59,Conversions!$E$20:$E$104,Conversions!$F$20:$F$104),INDEX(Conversions!$C$4:$I$10,MATCH('V1 - Fuels (Mobile)'!$T59,Conversions!$B$4:$B$10,0),MATCH('V1 - Fuels (Mobile)'!$U59,Conversions!$C$3:$I$3,0))))</f>
        <v/>
      </c>
      <c r="W59" s="309" t="str">
        <f>IF(J59="","",_xlfn.XLOOKUP(H59,'Emission Factors'!$M$432:$M$787,'Emission Factors'!$S$432:$S$787)*V59)</f>
        <v/>
      </c>
      <c r="X59" s="305" t="str">
        <f t="shared" si="14"/>
        <v/>
      </c>
      <c r="Y59" s="129" t="str">
        <f t="shared" si="11"/>
        <v/>
      </c>
      <c r="Z59" s="303" t="str">
        <f>IF(J59="","",_xlfn.XLOOKUP(H59,'Emission Factors'!$M$432:$M$787,'Emission Factors'!$W$432:$W$787))</f>
        <v/>
      </c>
      <c r="AA59" s="67"/>
      <c r="AB59" s="67"/>
      <c r="AC59" s="67"/>
      <c r="AD59" s="151"/>
    </row>
    <row r="60" spans="2:30">
      <c r="B60" s="166"/>
      <c r="C60" s="173"/>
      <c r="D60" s="123"/>
      <c r="E60" s="136"/>
      <c r="F60" s="131"/>
      <c r="G60" s="131"/>
      <c r="H60" s="132" t="str">
        <f t="shared" si="7"/>
        <v/>
      </c>
      <c r="I60" s="137"/>
      <c r="J60" s="131"/>
      <c r="K60" s="108" t="str">
        <f t="shared" si="15"/>
        <v/>
      </c>
      <c r="L60" s="306" t="str">
        <f>IF(J60="","",_xlfn.XLOOKUP(H60,'Emission Factors'!$M$71:$M$131,'Emission Factors'!$U$71:$U$131))</f>
        <v/>
      </c>
      <c r="M60" s="326" t="str">
        <f>IF($J60="","",IF(OR($J60="Litre",$J60="Tonne"),_xlfn.XLOOKUP(G60&amp;L60&amp;K60,Conversions!$E$20:$E$104,Conversions!$F$20:$F$104),INDEX(Conversions!$C$4:$I$10,MATCH('V1 - Fuels (Mobile)'!$K60,Conversions!$B$4:$B$10,0),MATCH('V1 - Fuels (Mobile)'!$L60,Conversions!$C$3:$I$3,0))))</f>
        <v/>
      </c>
      <c r="N60" s="310" t="str">
        <f>IF(J60="","",_xlfn.XLOOKUP(H60,'Emission Factors'!$M$71:$M$131,'Emission Factors'!$T$71:$T$131)*M60)</f>
        <v/>
      </c>
      <c r="O60" s="311" t="str">
        <f t="shared" si="13"/>
        <v/>
      </c>
      <c r="P60" s="134" t="str">
        <f t="shared" si="12"/>
        <v/>
      </c>
      <c r="Q60" s="306" t="str">
        <f>IF(J60="","",_xlfn.XLOOKUP(H60,'Emission Factors'!$M:$M,'Emission Factors'!$W:$W))</f>
        <v/>
      </c>
      <c r="R60" s="136"/>
      <c r="S60" s="67"/>
      <c r="T60" s="303" t="str">
        <f t="shared" si="10"/>
        <v/>
      </c>
      <c r="U60" s="303" t="str">
        <f>IF(J60="","",_xlfn.XLOOKUP(H60,'Emission Factors'!$M$432:$M$787,'Emission Factors'!$U$432:$U$787))</f>
        <v/>
      </c>
      <c r="V60" s="309" t="str">
        <f>IF($J60="","",IF(OR($J60="Litre",$J60="Tonne"),_xlfn.XLOOKUP(G60&amp;U60&amp;T60,Conversions!$E$20:$E$104,Conversions!$F$20:$F$104),INDEX(Conversions!$C$4:$I$10,MATCH('V1 - Fuels (Mobile)'!$T60,Conversions!$B$4:$B$10,0),MATCH('V1 - Fuels (Mobile)'!$U60,Conversions!$C$3:$I$3,0))))</f>
        <v/>
      </c>
      <c r="W60" s="309" t="str">
        <f>IF(J60="","",_xlfn.XLOOKUP(H60,'Emission Factors'!$M$432:$M$787,'Emission Factors'!$S$432:$S$787)*V60)</f>
        <v/>
      </c>
      <c r="X60" s="305" t="str">
        <f t="shared" si="14"/>
        <v/>
      </c>
      <c r="Y60" s="129" t="str">
        <f t="shared" si="11"/>
        <v/>
      </c>
      <c r="Z60" s="303" t="str">
        <f>IF(J60="","",_xlfn.XLOOKUP(H60,'Emission Factors'!$M$432:$M$787,'Emission Factors'!$W$432:$W$787))</f>
        <v/>
      </c>
      <c r="AA60" s="67"/>
      <c r="AB60" s="67"/>
      <c r="AC60" s="67"/>
      <c r="AD60" s="151"/>
    </row>
    <row r="61" spans="2:30">
      <c r="B61" s="166"/>
      <c r="C61" s="173"/>
      <c r="D61" s="67"/>
      <c r="E61" s="67"/>
      <c r="F61" s="67"/>
      <c r="G61" s="67"/>
      <c r="H61" s="67"/>
      <c r="I61" s="67"/>
      <c r="J61" s="67"/>
      <c r="K61" s="67"/>
      <c r="L61" s="67"/>
      <c r="M61" s="67"/>
      <c r="N61" s="67"/>
      <c r="O61" s="67"/>
      <c r="P61" s="139"/>
      <c r="Q61" s="67"/>
      <c r="R61" s="67"/>
      <c r="S61" s="67"/>
      <c r="T61" s="67"/>
      <c r="U61" s="67"/>
      <c r="V61" s="67"/>
      <c r="W61" s="67"/>
      <c r="X61" s="67"/>
      <c r="Y61" s="67"/>
      <c r="Z61" s="67"/>
      <c r="AA61" s="67"/>
      <c r="AB61" s="67"/>
      <c r="AC61" s="67"/>
      <c r="AD61" s="151"/>
    </row>
    <row r="62" spans="2:30" ht="15">
      <c r="B62" s="166"/>
      <c r="C62" s="173"/>
      <c r="D62" s="350" t="str">
        <f>'V1 - Fuels (Stationary)'!D62</f>
        <v>Samanlagt</v>
      </c>
      <c r="E62" s="82"/>
      <c r="F62" s="82"/>
      <c r="G62" s="82"/>
      <c r="H62" s="82"/>
      <c r="I62" s="82"/>
      <c r="J62" s="82"/>
      <c r="K62" s="82"/>
      <c r="L62" s="82"/>
      <c r="M62" s="82"/>
      <c r="N62" s="82"/>
      <c r="O62" s="82"/>
      <c r="P62" s="140">
        <f>SUM($P$31:$P$60)</f>
        <v>0</v>
      </c>
      <c r="Q62" s="82"/>
      <c r="R62" s="82"/>
      <c r="S62" s="118"/>
      <c r="T62" s="82"/>
      <c r="U62" s="82"/>
      <c r="V62" s="82"/>
      <c r="W62" s="82"/>
      <c r="X62" s="82"/>
      <c r="Y62" s="140">
        <f>SUM($Y$31:$Y$60)</f>
        <v>0</v>
      </c>
      <c r="Z62" s="82"/>
      <c r="AA62" s="67"/>
      <c r="AB62" s="67"/>
      <c r="AC62" s="67"/>
      <c r="AD62" s="151"/>
    </row>
    <row r="63" spans="2:30">
      <c r="B63" s="166"/>
      <c r="C63" s="173"/>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1"/>
    </row>
    <row r="64" spans="2:30" ht="15" hidden="1">
      <c r="B64" s="166"/>
      <c r="C64" s="173"/>
      <c r="D64" s="86" t="s">
        <v>209</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1"/>
    </row>
    <row r="65" spans="2:30" ht="48.6" hidden="1" customHeight="1">
      <c r="B65" s="166"/>
      <c r="C65" s="173"/>
      <c r="D65" s="159" t="s">
        <v>210</v>
      </c>
      <c r="E65" s="159" t="s">
        <v>211</v>
      </c>
      <c r="F65" s="159" t="s">
        <v>145</v>
      </c>
      <c r="G65" s="159" t="s">
        <v>212</v>
      </c>
      <c r="H65" s="159" t="s">
        <v>185</v>
      </c>
      <c r="I65" s="159" t="s">
        <v>213</v>
      </c>
      <c r="J65" s="159" t="s">
        <v>214</v>
      </c>
      <c r="K65" s="159" t="s">
        <v>186</v>
      </c>
      <c r="L65" s="159" t="s">
        <v>187</v>
      </c>
      <c r="M65" s="159" t="s">
        <v>188</v>
      </c>
      <c r="N65" s="159" t="s">
        <v>215</v>
      </c>
      <c r="O65" s="159" t="s">
        <v>216</v>
      </c>
      <c r="P65" s="159" t="s">
        <v>217</v>
      </c>
      <c r="Q65" s="159" t="s">
        <v>218</v>
      </c>
      <c r="R65" s="159" t="s">
        <v>219</v>
      </c>
      <c r="S65" s="67"/>
      <c r="T65" s="159" t="s">
        <v>186</v>
      </c>
      <c r="U65" s="159" t="s">
        <v>187</v>
      </c>
      <c r="V65" s="159" t="s">
        <v>188</v>
      </c>
      <c r="W65" s="159" t="s">
        <v>215</v>
      </c>
      <c r="X65" s="159" t="s">
        <v>216</v>
      </c>
      <c r="Y65" s="159" t="s">
        <v>217</v>
      </c>
      <c r="Z65" s="159" t="s">
        <v>218</v>
      </c>
      <c r="AA65" s="67"/>
      <c r="AB65" s="67"/>
      <c r="AC65" s="67"/>
      <c r="AD65" s="151"/>
    </row>
    <row r="66" spans="2:30" hidden="1">
      <c r="B66" s="166"/>
      <c r="C66" s="173"/>
      <c r="D66" s="123"/>
      <c r="E66" s="130"/>
      <c r="F66" s="136"/>
      <c r="G66" s="136"/>
      <c r="H66" s="108"/>
      <c r="I66" s="136"/>
      <c r="J66" s="136"/>
      <c r="K66" s="108" t="str">
        <f>IF(J66="","",J66)</f>
        <v/>
      </c>
      <c r="L66" s="108"/>
      <c r="M66" s="127" t="str">
        <f>IF($J66="","",IF(OR($J66="Litre",$J66="Tonne"),_xlfn.XLOOKUP(G66&amp;L66&amp;K66,Conversions!$E$20:$E$104,Conversions!$F$20:$F$104),INDEX(Conversions!$C$4:$I$10,MATCH('V1 - Fuels (Mobile)'!$K66,Conversions!$B$4:$B$10,0),MATCH('V1 - Fuels (Mobile)'!$L66,Conversions!$C$3:$I$3,0))))</f>
        <v/>
      </c>
      <c r="N66" s="136"/>
      <c r="O66" s="136"/>
      <c r="P66" s="192" t="str">
        <f t="shared" ref="P66:P68" si="16">IF(ISBLANK(I66)=TRUE,"",IF(ISBLANK(N66)=TRUE,"",I66*N66)/1000)</f>
        <v/>
      </c>
      <c r="Q66" s="136"/>
      <c r="R66" s="135"/>
      <c r="S66" s="67"/>
      <c r="T66" s="108" t="str">
        <f>K66</f>
        <v/>
      </c>
      <c r="U66" s="108" t="str">
        <f>IF(J66="","",_xlfn.XLOOKUP(H66,'Emission Factors'!$M$432:$M$787,'Emission Factors'!$U$432:$U$787))</f>
        <v/>
      </c>
      <c r="V66" s="127" t="str">
        <f>IF($J66="","",IF(OR($J66="Litre",$J66="Tonne"),_xlfn.XLOOKUP(G66&amp;U66&amp;T66,Conversions!$E$20:$E$104,Conversions!$F$20:$F$104),INDEX(Conversions!$C$4:$I$10,MATCH('V1 - Fuels (Mobile)'!$T66,Conversions!$B$4:$B$10,0),MATCH('V1 - Fuels (Mobile)'!$U66,Conversions!$C$3:$I$3,0))))</f>
        <v/>
      </c>
      <c r="W66" s="127" t="str">
        <f>IF(J66="","",_xlfn.XLOOKUP(H66,'Emission Factors'!$M$432:$M$787,'Emission Factors'!$S$432:$S$787)*V66)</f>
        <v/>
      </c>
      <c r="X66" s="109" t="str">
        <f>IF(J66="","","kgCO2e/"&amp;T66)</f>
        <v/>
      </c>
      <c r="Y66" s="193" t="str">
        <f>IF(ISBLANK(I66)=TRUE,"",IF(ISBLANK(W66)=TRUE,"",I66*W66)/1000)</f>
        <v/>
      </c>
      <c r="Z66" s="108" t="str">
        <f>IF(J66="","",_xlfn.XLOOKUP(H66,'Emission Factors'!$M472:$M828,'Emission Factors'!$W472:$W828))</f>
        <v/>
      </c>
      <c r="AA66" s="67"/>
      <c r="AB66" s="67"/>
      <c r="AC66" s="67"/>
      <c r="AD66" s="151"/>
    </row>
    <row r="67" spans="2:30" hidden="1">
      <c r="B67" s="166"/>
      <c r="C67" s="173"/>
      <c r="D67" s="123"/>
      <c r="E67" s="136"/>
      <c r="F67" s="136"/>
      <c r="G67" s="136"/>
      <c r="H67" s="108"/>
      <c r="I67" s="136"/>
      <c r="J67" s="136"/>
      <c r="K67" s="108" t="str">
        <f t="shared" ref="K67:K95" si="17">IF(J67="","",J67)</f>
        <v/>
      </c>
      <c r="L67" s="108"/>
      <c r="M67" s="127" t="str">
        <f>IF($J67="","",IF(OR($J67="Litre",$J67="Tonne"),_xlfn.XLOOKUP(G67&amp;L67&amp;K67,Conversions!$E$20:$E$104,Conversions!$F$20:$F$104),INDEX(Conversions!$C$4:$I$10,MATCH('V1 - Fuels (Mobile)'!$K67,Conversions!$B$4:$B$10,0),MATCH('V1 - Fuels (Mobile)'!$L67,Conversions!$C$3:$I$3,0))))</f>
        <v/>
      </c>
      <c r="N67" s="136"/>
      <c r="O67" s="136"/>
      <c r="P67" s="192" t="str">
        <f t="shared" si="16"/>
        <v/>
      </c>
      <c r="Q67" s="136"/>
      <c r="R67" s="136"/>
      <c r="S67" s="67"/>
      <c r="T67" s="108" t="str">
        <f t="shared" ref="T67:T95" si="18">K67</f>
        <v/>
      </c>
      <c r="U67" s="108" t="str">
        <f>IF(J67="","",_xlfn.XLOOKUP(H67,'Emission Factors'!$M$432:$M$787,'Emission Factors'!$U$432:$U$787))</f>
        <v/>
      </c>
      <c r="V67" s="127" t="str">
        <f>IF($J67="","",IF(OR($J67="Litre",$J67="Tonne"),_xlfn.XLOOKUP(G67&amp;U67&amp;T67,Conversions!$E$20:$E$104,Conversions!$F$20:$F$104),INDEX(Conversions!$C$4:$I$10,MATCH('V1 - Fuels (Mobile)'!$T67,Conversions!$B$4:$B$10,0),MATCH('V1 - Fuels (Mobile)'!$U67,Conversions!$C$3:$I$3,0))))</f>
        <v/>
      </c>
      <c r="W67" s="127" t="str">
        <f>IF(J67="","",_xlfn.XLOOKUP(H67,'Emission Factors'!$M$432:$M$787,'Emission Factors'!$S$432:$S$787)*V67)</f>
        <v/>
      </c>
      <c r="X67" s="109" t="str">
        <f t="shared" ref="X67:X95" si="19">IF(J67="","","kgCO2e/"&amp;T67)</f>
        <v/>
      </c>
      <c r="Y67" s="193" t="str">
        <f t="shared" ref="Y67:Y95" si="20">IF(ISBLANK(I67)=TRUE,"",IF(ISBLANK(W67)=TRUE,"",I67*W67)/1000)</f>
        <v/>
      </c>
      <c r="Z67" s="108" t="str">
        <f>IF(J67="","",_xlfn.XLOOKUP(H67,'Emission Factors'!$M473:$M829,'Emission Factors'!$W473:$W829))</f>
        <v/>
      </c>
      <c r="AA67" s="67"/>
      <c r="AB67" s="67"/>
      <c r="AC67" s="67"/>
      <c r="AD67" s="151"/>
    </row>
    <row r="68" spans="2:30" hidden="1">
      <c r="B68" s="166"/>
      <c r="C68" s="173"/>
      <c r="D68" s="123"/>
      <c r="E68" s="136"/>
      <c r="F68" s="136"/>
      <c r="G68" s="136"/>
      <c r="H68" s="108"/>
      <c r="I68" s="136"/>
      <c r="J68" s="136"/>
      <c r="K68" s="108" t="str">
        <f t="shared" si="17"/>
        <v/>
      </c>
      <c r="L68" s="108"/>
      <c r="M68" s="127" t="str">
        <f>IF($J68="","",IF(OR($J68="Litre",$J68="Tonne"),_xlfn.XLOOKUP(G68&amp;L68&amp;K68,Conversions!$E$20:$E$104,Conversions!$F$20:$F$104),INDEX(Conversions!$C$4:$I$10,MATCH('V1 - Fuels (Mobile)'!$K68,Conversions!$B$4:$B$10,0),MATCH('V1 - Fuels (Mobile)'!$L68,Conversions!$C$3:$I$3,0))))</f>
        <v/>
      </c>
      <c r="N68" s="136"/>
      <c r="O68" s="136"/>
      <c r="P68" s="192" t="str">
        <f t="shared" si="16"/>
        <v/>
      </c>
      <c r="Q68" s="136"/>
      <c r="R68" s="136"/>
      <c r="S68" s="67"/>
      <c r="T68" s="108" t="str">
        <f t="shared" si="18"/>
        <v/>
      </c>
      <c r="U68" s="108" t="str">
        <f>IF(J68="","",_xlfn.XLOOKUP(H68,'Emission Factors'!$M$432:$M$787,'Emission Factors'!$U$432:$U$787))</f>
        <v/>
      </c>
      <c r="V68" s="127" t="str">
        <f>IF($J68="","",IF(OR($J68="Litre",$J68="Tonne"),_xlfn.XLOOKUP(G68&amp;U68&amp;T68,Conversions!$E$20:$E$104,Conversions!$F$20:$F$104),INDEX(Conversions!$C$4:$I$10,MATCH('V1 - Fuels (Mobile)'!$T68,Conversions!$B$4:$B$10,0),MATCH('V1 - Fuels (Mobile)'!$U68,Conversions!$C$3:$I$3,0))))</f>
        <v/>
      </c>
      <c r="W68" s="127" t="str">
        <f>IF(J68="","",_xlfn.XLOOKUP(H68,'Emission Factors'!$M$432:$M$787,'Emission Factors'!$S$432:$S$787)*V68)</f>
        <v/>
      </c>
      <c r="X68" s="109" t="str">
        <f t="shared" si="19"/>
        <v/>
      </c>
      <c r="Y68" s="193" t="str">
        <f t="shared" si="20"/>
        <v/>
      </c>
      <c r="Z68" s="108" t="str">
        <f>IF(J68="","",_xlfn.XLOOKUP(H68,'Emission Factors'!$M474:$M830,'Emission Factors'!$W474:$W830))</f>
        <v/>
      </c>
      <c r="AA68" s="67"/>
      <c r="AB68" s="67"/>
      <c r="AC68" s="67"/>
      <c r="AD68" s="151"/>
    </row>
    <row r="69" spans="2:30" hidden="1">
      <c r="B69" s="166"/>
      <c r="C69" s="173"/>
      <c r="D69" s="123"/>
      <c r="E69" s="136"/>
      <c r="F69" s="136"/>
      <c r="G69" s="136"/>
      <c r="H69" s="108"/>
      <c r="I69" s="136"/>
      <c r="J69" s="136"/>
      <c r="K69" s="108" t="str">
        <f t="shared" si="17"/>
        <v/>
      </c>
      <c r="L69" s="108"/>
      <c r="M69" s="127" t="str">
        <f>IF($J69="","",IF(OR($J69="Litre",$J69="Tonne"),_xlfn.XLOOKUP(G69&amp;L69&amp;K69,Conversions!$E$20:$E$104,Conversions!$F$20:$F$104),INDEX(Conversions!$C$4:$I$10,MATCH('V1 - Fuels (Mobile)'!$K69,Conversions!$B$4:$B$10,0),MATCH('V1 - Fuels (Mobile)'!$L69,Conversions!$C$3:$I$3,0))))</f>
        <v/>
      </c>
      <c r="N69" s="136"/>
      <c r="O69" s="136"/>
      <c r="P69" s="192" t="str">
        <f>IF(ISBLANK(I69)=TRUE,"",IF(ISBLANK(N69)=TRUE,"",I69*N69)/1000)</f>
        <v/>
      </c>
      <c r="Q69" s="136"/>
      <c r="R69" s="136"/>
      <c r="S69" s="67"/>
      <c r="T69" s="108" t="str">
        <f t="shared" si="18"/>
        <v/>
      </c>
      <c r="U69" s="108" t="str">
        <f>IF(J69="","",_xlfn.XLOOKUP(H69,'Emission Factors'!$M$432:$M$787,'Emission Factors'!$U$432:$U$787))</f>
        <v/>
      </c>
      <c r="V69" s="127" t="str">
        <f>IF($J69="","",IF(OR($J69="Litre",$J69="Tonne"),_xlfn.XLOOKUP(G69&amp;U69&amp;T69,Conversions!$E$20:$E$104,Conversions!$F$20:$F$104),INDEX(Conversions!$C$4:$I$10,MATCH('V1 - Fuels (Mobile)'!$T69,Conversions!$B$4:$B$10,0),MATCH('V1 - Fuels (Mobile)'!$U69,Conversions!$C$3:$I$3,0))))</f>
        <v/>
      </c>
      <c r="W69" s="127" t="str">
        <f>IF(J69="","",_xlfn.XLOOKUP(H69,'Emission Factors'!$M$432:$M$787,'Emission Factors'!$S$432:$S$787)*V69)</f>
        <v/>
      </c>
      <c r="X69" s="109" t="str">
        <f t="shared" si="19"/>
        <v/>
      </c>
      <c r="Y69" s="193" t="str">
        <f t="shared" si="20"/>
        <v/>
      </c>
      <c r="Z69" s="108" t="str">
        <f>IF(J69="","",_xlfn.XLOOKUP(H69,'Emission Factors'!$M475:$M831,'Emission Factors'!$W475:$W831))</f>
        <v/>
      </c>
      <c r="AA69" s="67"/>
      <c r="AB69" s="67"/>
      <c r="AC69" s="67"/>
      <c r="AD69" s="151"/>
    </row>
    <row r="70" spans="2:30" hidden="1">
      <c r="B70" s="166"/>
      <c r="C70" s="173"/>
      <c r="D70" s="123"/>
      <c r="E70" s="138"/>
      <c r="F70" s="138"/>
      <c r="G70" s="138"/>
      <c r="H70" s="108"/>
      <c r="I70" s="138"/>
      <c r="J70" s="138"/>
      <c r="K70" s="108" t="str">
        <f t="shared" si="17"/>
        <v/>
      </c>
      <c r="L70" s="108"/>
      <c r="M70" s="127" t="str">
        <f>IF($J70="","",IF(OR($J70="Litre",$J70="Tonne"),_xlfn.XLOOKUP(G70&amp;L70&amp;K70,Conversions!$E$20:$E$104,Conversions!$F$20:$F$104),INDEX(Conversions!$C$4:$I$10,MATCH('V1 - Fuels (Mobile)'!$K70,Conversions!$B$4:$B$10,0),MATCH('V1 - Fuels (Mobile)'!$L70,Conversions!$C$3:$I$3,0))))</f>
        <v/>
      </c>
      <c r="N70" s="138"/>
      <c r="O70" s="138"/>
      <c r="P70" s="192" t="str">
        <f t="shared" ref="P70:P95" si="21">IF(ISBLANK(I70)=TRUE,"",IF(ISBLANK(N70)=TRUE,"",I70*N70)/1000)</f>
        <v/>
      </c>
      <c r="Q70" s="138"/>
      <c r="R70" s="136"/>
      <c r="S70" s="67"/>
      <c r="T70" s="108" t="str">
        <f t="shared" si="18"/>
        <v/>
      </c>
      <c r="U70" s="108" t="str">
        <f>IF(J70="","",_xlfn.XLOOKUP(H70,'Emission Factors'!$M$432:$M$787,'Emission Factors'!$U$432:$U$787))</f>
        <v/>
      </c>
      <c r="V70" s="127" t="str">
        <f>IF($J70="","",IF(OR($J70="Litre",$J70="Tonne"),_xlfn.XLOOKUP(G70&amp;U70&amp;T70,Conversions!$E$20:$E$104,Conversions!$F$20:$F$104),INDEX(Conversions!$C$4:$I$10,MATCH('V1 - Fuels (Mobile)'!$T70,Conversions!$B$4:$B$10,0),MATCH('V1 - Fuels (Mobile)'!$U70,Conversions!$C$3:$I$3,0))))</f>
        <v/>
      </c>
      <c r="W70" s="127" t="str">
        <f>IF(J70="","",_xlfn.XLOOKUP(H70,'Emission Factors'!$M$432:$M$787,'Emission Factors'!$S$432:$S$787)*V70)</f>
        <v/>
      </c>
      <c r="X70" s="109" t="str">
        <f t="shared" si="19"/>
        <v/>
      </c>
      <c r="Y70" s="193" t="str">
        <f t="shared" si="20"/>
        <v/>
      </c>
      <c r="Z70" s="108" t="str">
        <f>IF(J70="","",_xlfn.XLOOKUP(H70,'Emission Factors'!$M476:$M832,'Emission Factors'!$W476:$W832))</f>
        <v/>
      </c>
      <c r="AA70" s="67"/>
      <c r="AB70" s="67"/>
      <c r="AC70" s="67"/>
      <c r="AD70" s="151"/>
    </row>
    <row r="71" spans="2:30" hidden="1">
      <c r="B71" s="166"/>
      <c r="C71" s="173"/>
      <c r="D71" s="123"/>
      <c r="E71" s="136"/>
      <c r="F71" s="136"/>
      <c r="G71" s="136"/>
      <c r="H71" s="108"/>
      <c r="I71" s="136"/>
      <c r="J71" s="136"/>
      <c r="K71" s="108" t="str">
        <f>IF(J71="","",J71)</f>
        <v/>
      </c>
      <c r="L71" s="108"/>
      <c r="M71" s="127" t="str">
        <f>IF($J71="","",IF(OR($J71="Litre",$J71="Tonne"),_xlfn.XLOOKUP(G71&amp;L71&amp;K71,Conversions!$E$20:$E$104,Conversions!$F$20:$F$104),INDEX(Conversions!$C$4:$I$10,MATCH('V1 - Fuels (Mobile)'!$K71,Conversions!$B$4:$B$10,0),MATCH('V1 - Fuels (Mobile)'!$L71,Conversions!$C$3:$I$3,0))))</f>
        <v/>
      </c>
      <c r="N71" s="136"/>
      <c r="O71" s="136"/>
      <c r="P71" s="192" t="str">
        <f t="shared" si="21"/>
        <v/>
      </c>
      <c r="Q71" s="136"/>
      <c r="R71" s="136"/>
      <c r="S71" s="67"/>
      <c r="T71" s="108" t="str">
        <f t="shared" si="18"/>
        <v/>
      </c>
      <c r="U71" s="108" t="str">
        <f>IF(J71="","",_xlfn.XLOOKUP(H71,'Emission Factors'!$M$432:$M$787,'Emission Factors'!$U$432:$U$787))</f>
        <v/>
      </c>
      <c r="V71" s="127" t="str">
        <f>IF($J71="","",IF(OR($J71="Litre",$J71="Tonne"),_xlfn.XLOOKUP(G71&amp;U71&amp;T71,Conversions!$E$20:$E$104,Conversions!$F$20:$F$104),INDEX(Conversions!$C$4:$I$10,MATCH('V1 - Fuels (Mobile)'!$T71,Conversions!$B$4:$B$10,0),MATCH('V1 - Fuels (Mobile)'!$U71,Conversions!$C$3:$I$3,0))))</f>
        <v/>
      </c>
      <c r="W71" s="127" t="str">
        <f>IF(J71="","",_xlfn.XLOOKUP(H71,'Emission Factors'!$M$432:$M$787,'Emission Factors'!$S$432:$S$787)*V71)</f>
        <v/>
      </c>
      <c r="X71" s="109" t="str">
        <f t="shared" si="19"/>
        <v/>
      </c>
      <c r="Y71" s="193" t="str">
        <f t="shared" si="20"/>
        <v/>
      </c>
      <c r="Z71" s="108" t="str">
        <f>IF(J71="","",_xlfn.XLOOKUP(H71,'Emission Factors'!$M477:$M833,'Emission Factors'!$W477:$W833))</f>
        <v/>
      </c>
      <c r="AA71" s="67"/>
      <c r="AB71" s="67"/>
      <c r="AC71" s="67"/>
      <c r="AD71" s="151"/>
    </row>
    <row r="72" spans="2:30" hidden="1">
      <c r="B72" s="166"/>
      <c r="C72" s="173"/>
      <c r="D72" s="123"/>
      <c r="E72" s="136"/>
      <c r="F72" s="136"/>
      <c r="G72" s="136"/>
      <c r="H72" s="108"/>
      <c r="I72" s="136"/>
      <c r="J72" s="136"/>
      <c r="K72" s="108" t="str">
        <f>IF(J72="","",J72)</f>
        <v/>
      </c>
      <c r="L72" s="108"/>
      <c r="M72" s="127" t="str">
        <f>IF($J72="","",IF(OR($J72="Litre",$J72="Tonne"),_xlfn.XLOOKUP(G72&amp;L72&amp;K72,Conversions!$E$20:$E$104,Conversions!$F$20:$F$104),INDEX(Conversions!$C$4:$I$10,MATCH('V1 - Fuels (Mobile)'!$K72,Conversions!$B$4:$B$10,0),MATCH('V1 - Fuels (Mobile)'!$L72,Conversions!$C$3:$I$3,0))))</f>
        <v/>
      </c>
      <c r="N72" s="136"/>
      <c r="O72" s="136"/>
      <c r="P72" s="192" t="str">
        <f t="shared" si="21"/>
        <v/>
      </c>
      <c r="Q72" s="136"/>
      <c r="R72" s="136"/>
      <c r="S72" s="67"/>
      <c r="T72" s="108" t="str">
        <f t="shared" si="18"/>
        <v/>
      </c>
      <c r="U72" s="108" t="str">
        <f>IF(J72="","",_xlfn.XLOOKUP(H72,'Emission Factors'!$M$432:$M$787,'Emission Factors'!$U$432:$U$787))</f>
        <v/>
      </c>
      <c r="V72" s="127" t="str">
        <f>IF($J72="","",IF(OR($J72="Litre",$J72="Tonne"),_xlfn.XLOOKUP(G72&amp;U72&amp;T72,Conversions!$E$20:$E$104,Conversions!$F$20:$F$104),INDEX(Conversions!$C$4:$I$10,MATCH('V1 - Fuels (Mobile)'!$T72,Conversions!$B$4:$B$10,0),MATCH('V1 - Fuels (Mobile)'!$U72,Conversions!$C$3:$I$3,0))))</f>
        <v/>
      </c>
      <c r="W72" s="127" t="str">
        <f>IF(J72="","",_xlfn.XLOOKUP(H72,'Emission Factors'!$M$432:$M$787,'Emission Factors'!$S$432:$S$787)*V72)</f>
        <v/>
      </c>
      <c r="X72" s="109" t="str">
        <f t="shared" si="19"/>
        <v/>
      </c>
      <c r="Y72" s="193" t="str">
        <f t="shared" si="20"/>
        <v/>
      </c>
      <c r="Z72" s="108" t="str">
        <f>IF(J72="","",_xlfn.XLOOKUP(H72,'Emission Factors'!$M478:$M834,'Emission Factors'!$W478:$W834))</f>
        <v/>
      </c>
      <c r="AA72" s="67"/>
      <c r="AB72" s="67"/>
      <c r="AC72" s="67"/>
      <c r="AD72" s="151"/>
    </row>
    <row r="73" spans="2:30" hidden="1">
      <c r="B73" s="166"/>
      <c r="C73" s="173"/>
      <c r="D73" s="123"/>
      <c r="E73" s="136"/>
      <c r="F73" s="136"/>
      <c r="G73" s="136"/>
      <c r="H73" s="108"/>
      <c r="I73" s="136"/>
      <c r="J73" s="136"/>
      <c r="K73" s="108" t="str">
        <f t="shared" si="17"/>
        <v/>
      </c>
      <c r="L73" s="108"/>
      <c r="M73" s="127" t="str">
        <f>IF($J73="","",IF(OR($J73="Litre",$J73="Tonne"),_xlfn.XLOOKUP(G73&amp;L73&amp;K73,Conversions!$E$20:$E$104,Conversions!$F$20:$F$104),INDEX(Conversions!$C$4:$I$10,MATCH('V1 - Fuels (Mobile)'!$K73,Conversions!$B$4:$B$10,0),MATCH('V1 - Fuels (Mobile)'!$L73,Conversions!$C$3:$I$3,0))))</f>
        <v/>
      </c>
      <c r="N73" s="136"/>
      <c r="O73" s="136"/>
      <c r="P73" s="192" t="str">
        <f t="shared" si="21"/>
        <v/>
      </c>
      <c r="Q73" s="136"/>
      <c r="R73" s="136"/>
      <c r="S73" s="67"/>
      <c r="T73" s="108" t="str">
        <f t="shared" si="18"/>
        <v/>
      </c>
      <c r="U73" s="108" t="str">
        <f>IF(J73="","",_xlfn.XLOOKUP(H73,'Emission Factors'!$M$432:$M$787,'Emission Factors'!$U$432:$U$787))</f>
        <v/>
      </c>
      <c r="V73" s="127" t="str">
        <f>IF($J73="","",IF(OR($J73="Litre",$J73="Tonne"),_xlfn.XLOOKUP(G73&amp;U73&amp;T73,Conversions!$E$20:$E$104,Conversions!$F$20:$F$104),INDEX(Conversions!$C$4:$I$10,MATCH('V1 - Fuels (Mobile)'!$T73,Conversions!$B$4:$B$10,0),MATCH('V1 - Fuels (Mobile)'!$U73,Conversions!$C$3:$I$3,0))))</f>
        <v/>
      </c>
      <c r="W73" s="127" t="str">
        <f>IF(J73="","",_xlfn.XLOOKUP(H73,'Emission Factors'!$M$432:$M$787,'Emission Factors'!$S$432:$S$787)*V73)</f>
        <v/>
      </c>
      <c r="X73" s="109" t="str">
        <f t="shared" si="19"/>
        <v/>
      </c>
      <c r="Y73" s="193" t="str">
        <f t="shared" si="20"/>
        <v/>
      </c>
      <c r="Z73" s="108" t="str">
        <f>IF(J73="","",_xlfn.XLOOKUP(H73,'Emission Factors'!$M479:$M835,'Emission Factors'!$W479:$W835))</f>
        <v/>
      </c>
      <c r="AA73" s="67"/>
      <c r="AB73" s="67"/>
      <c r="AC73" s="67"/>
      <c r="AD73" s="151"/>
    </row>
    <row r="74" spans="2:30" hidden="1">
      <c r="B74" s="166"/>
      <c r="C74" s="173"/>
      <c r="D74" s="123"/>
      <c r="E74" s="136"/>
      <c r="F74" s="136"/>
      <c r="G74" s="136"/>
      <c r="H74" s="108"/>
      <c r="I74" s="136"/>
      <c r="J74" s="136"/>
      <c r="K74" s="108" t="str">
        <f t="shared" si="17"/>
        <v/>
      </c>
      <c r="L74" s="108"/>
      <c r="M74" s="127" t="str">
        <f>IF($J74="","",IF(OR($J74="Litre",$J74="Tonne"),_xlfn.XLOOKUP(G74&amp;L74&amp;K74,Conversions!$E$20:$E$104,Conversions!$F$20:$F$104),INDEX(Conversions!$C$4:$I$10,MATCH('V1 - Fuels (Mobile)'!$K74,Conversions!$B$4:$B$10,0),MATCH('V1 - Fuels (Mobile)'!$L74,Conversions!$C$3:$I$3,0))))</f>
        <v/>
      </c>
      <c r="N74" s="136"/>
      <c r="O74" s="136"/>
      <c r="P74" s="192" t="str">
        <f t="shared" si="21"/>
        <v/>
      </c>
      <c r="Q74" s="136"/>
      <c r="R74" s="136"/>
      <c r="S74" s="67"/>
      <c r="T74" s="108" t="str">
        <f t="shared" si="18"/>
        <v/>
      </c>
      <c r="U74" s="108" t="str">
        <f>IF(J74="","",_xlfn.XLOOKUP(H74,'Emission Factors'!$M$432:$M$787,'Emission Factors'!$U$432:$U$787))</f>
        <v/>
      </c>
      <c r="V74" s="127" t="str">
        <f>IF($J74="","",IF(OR($J74="Litre",$J74="Tonne"),_xlfn.XLOOKUP(G74&amp;U74&amp;T74,Conversions!$E$20:$E$104,Conversions!$F$20:$F$104),INDEX(Conversions!$C$4:$I$10,MATCH('V1 - Fuels (Mobile)'!$T74,Conversions!$B$4:$B$10,0),MATCH('V1 - Fuels (Mobile)'!$U74,Conversions!$C$3:$I$3,0))))</f>
        <v/>
      </c>
      <c r="W74" s="127" t="str">
        <f>IF(J74="","",_xlfn.XLOOKUP(H74,'Emission Factors'!$M$432:$M$787,'Emission Factors'!$S$432:$S$787)*V74)</f>
        <v/>
      </c>
      <c r="X74" s="109" t="str">
        <f t="shared" si="19"/>
        <v/>
      </c>
      <c r="Y74" s="193" t="str">
        <f t="shared" si="20"/>
        <v/>
      </c>
      <c r="Z74" s="108" t="str">
        <f>IF(J74="","",_xlfn.XLOOKUP(H74,'Emission Factors'!$M480:$M836,'Emission Factors'!$W480:$W836))</f>
        <v/>
      </c>
      <c r="AA74" s="67"/>
      <c r="AB74" s="67"/>
      <c r="AC74" s="67"/>
      <c r="AD74" s="151"/>
    </row>
    <row r="75" spans="2:30" hidden="1">
      <c r="B75" s="166"/>
      <c r="C75" s="173"/>
      <c r="D75" s="123"/>
      <c r="E75" s="136"/>
      <c r="F75" s="136"/>
      <c r="G75" s="136"/>
      <c r="H75" s="108"/>
      <c r="I75" s="136"/>
      <c r="J75" s="136"/>
      <c r="K75" s="108" t="str">
        <f t="shared" si="17"/>
        <v/>
      </c>
      <c r="L75" s="108"/>
      <c r="M75" s="127" t="str">
        <f>IF($J75="","",IF(OR($J75="Litre",$J75="Tonne"),_xlfn.XLOOKUP(G75&amp;L75&amp;K75,Conversions!$E$20:$E$104,Conversions!$F$20:$F$104),INDEX(Conversions!$C$4:$I$10,MATCH('V1 - Fuels (Mobile)'!$K75,Conversions!$B$4:$B$10,0),MATCH('V1 - Fuels (Mobile)'!$L75,Conversions!$C$3:$I$3,0))))</f>
        <v/>
      </c>
      <c r="N75" s="136"/>
      <c r="O75" s="136"/>
      <c r="P75" s="192" t="str">
        <f t="shared" si="21"/>
        <v/>
      </c>
      <c r="Q75" s="136"/>
      <c r="R75" s="136"/>
      <c r="S75" s="67"/>
      <c r="T75" s="108" t="str">
        <f t="shared" si="18"/>
        <v/>
      </c>
      <c r="U75" s="108" t="str">
        <f>IF(J75="","",_xlfn.XLOOKUP(H75,'Emission Factors'!$M$432:$M$787,'Emission Factors'!$U$432:$U$787))</f>
        <v/>
      </c>
      <c r="V75" s="127" t="str">
        <f>IF($J75="","",IF(OR($J75="Litre",$J75="Tonne"),_xlfn.XLOOKUP(G75&amp;U75&amp;T75,Conversions!$E$20:$E$104,Conversions!$F$20:$F$104),INDEX(Conversions!$C$4:$I$10,MATCH('V1 - Fuels (Mobile)'!$T75,Conversions!$B$4:$B$10,0),MATCH('V1 - Fuels (Mobile)'!$U75,Conversions!$C$3:$I$3,0))))</f>
        <v/>
      </c>
      <c r="W75" s="127" t="str">
        <f>IF(J75="","",_xlfn.XLOOKUP(H75,'Emission Factors'!$M$432:$M$787,'Emission Factors'!$S$432:$S$787)*V75)</f>
        <v/>
      </c>
      <c r="X75" s="109" t="str">
        <f t="shared" si="19"/>
        <v/>
      </c>
      <c r="Y75" s="193" t="str">
        <f t="shared" si="20"/>
        <v/>
      </c>
      <c r="Z75" s="108" t="str">
        <f>IF(J75="","",_xlfn.XLOOKUP(H75,'Emission Factors'!$M481:$M837,'Emission Factors'!$W481:$W837))</f>
        <v/>
      </c>
      <c r="AA75" s="67"/>
      <c r="AB75" s="67"/>
      <c r="AC75" s="67"/>
      <c r="AD75" s="151"/>
    </row>
    <row r="76" spans="2:30" hidden="1">
      <c r="B76" s="166"/>
      <c r="C76" s="173"/>
      <c r="D76" s="123"/>
      <c r="E76" s="136"/>
      <c r="F76" s="136"/>
      <c r="G76" s="136"/>
      <c r="H76" s="108"/>
      <c r="I76" s="136"/>
      <c r="J76" s="136"/>
      <c r="K76" s="108" t="str">
        <f t="shared" si="17"/>
        <v/>
      </c>
      <c r="L76" s="108"/>
      <c r="M76" s="127" t="str">
        <f>IF($J76="","",IF(OR($J76="Litre",$J76="Tonne"),_xlfn.XLOOKUP(G76&amp;L76&amp;K76,Conversions!$E$20:$E$104,Conversions!$F$20:$F$104),INDEX(Conversions!$C$4:$I$10,MATCH('V1 - Fuels (Mobile)'!$K76,Conversions!$B$4:$B$10,0),MATCH('V1 - Fuels (Mobile)'!$L76,Conversions!$C$3:$I$3,0))))</f>
        <v/>
      </c>
      <c r="N76" s="136"/>
      <c r="O76" s="136"/>
      <c r="P76" s="192" t="str">
        <f t="shared" si="21"/>
        <v/>
      </c>
      <c r="Q76" s="136"/>
      <c r="R76" s="136"/>
      <c r="S76" s="67"/>
      <c r="T76" s="108" t="str">
        <f t="shared" si="18"/>
        <v/>
      </c>
      <c r="U76" s="108" t="str">
        <f>IF(J76="","",_xlfn.XLOOKUP(H76,'Emission Factors'!$M$432:$M$787,'Emission Factors'!$U$432:$U$787))</f>
        <v/>
      </c>
      <c r="V76" s="127" t="str">
        <f>IF($J76="","",IF(OR($J76="Litre",$J76="Tonne"),_xlfn.XLOOKUP(G76&amp;U76&amp;T76,Conversions!$E$20:$E$104,Conversions!$F$20:$F$104),INDEX(Conversions!$C$4:$I$10,MATCH('V1 - Fuels (Mobile)'!$T76,Conversions!$B$4:$B$10,0),MATCH('V1 - Fuels (Mobile)'!$U76,Conversions!$C$3:$I$3,0))))</f>
        <v/>
      </c>
      <c r="W76" s="127" t="str">
        <f>IF(J76="","",_xlfn.XLOOKUP(H76,'Emission Factors'!$M$432:$M$787,'Emission Factors'!$S$432:$S$787)*V76)</f>
        <v/>
      </c>
      <c r="X76" s="109" t="str">
        <f t="shared" si="19"/>
        <v/>
      </c>
      <c r="Y76" s="193" t="str">
        <f t="shared" si="20"/>
        <v/>
      </c>
      <c r="Z76" s="108" t="str">
        <f>IF(J76="","",_xlfn.XLOOKUP(H76,'Emission Factors'!$M482:$M838,'Emission Factors'!$W482:$W838))</f>
        <v/>
      </c>
      <c r="AA76" s="67"/>
      <c r="AB76" s="67"/>
      <c r="AC76" s="67"/>
      <c r="AD76" s="151"/>
    </row>
    <row r="77" spans="2:30" hidden="1">
      <c r="B77" s="166"/>
      <c r="C77" s="173"/>
      <c r="D77" s="123"/>
      <c r="E77" s="136"/>
      <c r="F77" s="136"/>
      <c r="G77" s="136"/>
      <c r="H77" s="108"/>
      <c r="I77" s="136"/>
      <c r="J77" s="136"/>
      <c r="K77" s="108" t="str">
        <f t="shared" si="17"/>
        <v/>
      </c>
      <c r="L77" s="108"/>
      <c r="M77" s="127" t="str">
        <f>IF($J77="","",IF(OR($J77="Litre",$J77="Tonne"),_xlfn.XLOOKUP(G77&amp;L77&amp;K77,Conversions!$E$20:$E$104,Conversions!$F$20:$F$104),INDEX(Conversions!$C$4:$I$10,MATCH('V1 - Fuels (Mobile)'!$K77,Conversions!$B$4:$B$10,0),MATCH('V1 - Fuels (Mobile)'!$L77,Conversions!$C$3:$I$3,0))))</f>
        <v/>
      </c>
      <c r="N77" s="136"/>
      <c r="O77" s="136"/>
      <c r="P77" s="192" t="str">
        <f t="shared" si="21"/>
        <v/>
      </c>
      <c r="Q77" s="136"/>
      <c r="R77" s="136"/>
      <c r="S77" s="67"/>
      <c r="T77" s="108" t="str">
        <f t="shared" si="18"/>
        <v/>
      </c>
      <c r="U77" s="108" t="str">
        <f>IF(J77="","",_xlfn.XLOOKUP(H77,'Emission Factors'!$M$432:$M$787,'Emission Factors'!$U$432:$U$787))</f>
        <v/>
      </c>
      <c r="V77" s="127" t="str">
        <f>IF($J77="","",IF(OR($J77="Litre",$J77="Tonne"),_xlfn.XLOOKUP(G77&amp;U77&amp;T77,Conversions!$E$20:$E$104,Conversions!$F$20:$F$104),INDEX(Conversions!$C$4:$I$10,MATCH('V1 - Fuels (Mobile)'!$T77,Conversions!$B$4:$B$10,0),MATCH('V1 - Fuels (Mobile)'!$U77,Conversions!$C$3:$I$3,0))))</f>
        <v/>
      </c>
      <c r="W77" s="127" t="str">
        <f>IF(J77="","",_xlfn.XLOOKUP(H77,'Emission Factors'!$M$432:$M$787,'Emission Factors'!$S$432:$S$787)*V77)</f>
        <v/>
      </c>
      <c r="X77" s="109" t="str">
        <f t="shared" si="19"/>
        <v/>
      </c>
      <c r="Y77" s="193" t="str">
        <f t="shared" si="20"/>
        <v/>
      </c>
      <c r="Z77" s="108" t="str">
        <f>IF(J77="","",_xlfn.XLOOKUP(H77,'Emission Factors'!$M483:$M839,'Emission Factors'!$W483:$W839))</f>
        <v/>
      </c>
      <c r="AA77" s="67"/>
      <c r="AB77" s="67"/>
      <c r="AC77" s="67"/>
      <c r="AD77" s="151"/>
    </row>
    <row r="78" spans="2:30" hidden="1">
      <c r="B78" s="166"/>
      <c r="C78" s="173"/>
      <c r="D78" s="123"/>
      <c r="E78" s="136"/>
      <c r="F78" s="136"/>
      <c r="G78" s="136"/>
      <c r="H78" s="108"/>
      <c r="I78" s="136"/>
      <c r="J78" s="136"/>
      <c r="K78" s="108" t="str">
        <f t="shared" si="17"/>
        <v/>
      </c>
      <c r="L78" s="108"/>
      <c r="M78" s="127" t="str">
        <f>IF($J78="","",IF(OR($J78="Litre",$J78="Tonne"),_xlfn.XLOOKUP(G78&amp;L78&amp;K78,Conversions!$E$20:$E$104,Conversions!$F$20:$F$104),INDEX(Conversions!$C$4:$I$10,MATCH('V1 - Fuels (Mobile)'!$K78,Conversions!$B$4:$B$10,0),MATCH('V1 - Fuels (Mobile)'!$L78,Conversions!$C$3:$I$3,0))))</f>
        <v/>
      </c>
      <c r="N78" s="136"/>
      <c r="O78" s="136"/>
      <c r="P78" s="192" t="str">
        <f t="shared" si="21"/>
        <v/>
      </c>
      <c r="Q78" s="136"/>
      <c r="R78" s="136"/>
      <c r="S78" s="67"/>
      <c r="T78" s="108" t="str">
        <f t="shared" si="18"/>
        <v/>
      </c>
      <c r="U78" s="108" t="str">
        <f>IF(J78="","",_xlfn.XLOOKUP(H78,'Emission Factors'!$M$432:$M$787,'Emission Factors'!$U$432:$U$787))</f>
        <v/>
      </c>
      <c r="V78" s="127" t="str">
        <f>IF($J78="","",IF(OR($J78="Litre",$J78="Tonne"),_xlfn.XLOOKUP(G78&amp;U78&amp;T78,Conversions!$E$20:$E$104,Conversions!$F$20:$F$104),INDEX(Conversions!$C$4:$I$10,MATCH('V1 - Fuels (Mobile)'!$T78,Conversions!$B$4:$B$10,0),MATCH('V1 - Fuels (Mobile)'!$U78,Conversions!$C$3:$I$3,0))))</f>
        <v/>
      </c>
      <c r="W78" s="127" t="str">
        <f>IF(J78="","",_xlfn.XLOOKUP(H78,'Emission Factors'!$M$432:$M$787,'Emission Factors'!$S$432:$S$787)*V78)</f>
        <v/>
      </c>
      <c r="X78" s="109" t="str">
        <f t="shared" si="19"/>
        <v/>
      </c>
      <c r="Y78" s="193" t="str">
        <f t="shared" si="20"/>
        <v/>
      </c>
      <c r="Z78" s="108" t="str">
        <f>IF(J78="","",_xlfn.XLOOKUP(H78,'Emission Factors'!$M483:$M840,'Emission Factors'!$W483:$W840))</f>
        <v/>
      </c>
      <c r="AA78" s="67"/>
      <c r="AB78" s="67"/>
      <c r="AC78" s="67"/>
      <c r="AD78" s="151"/>
    </row>
    <row r="79" spans="2:30" hidden="1">
      <c r="B79" s="166"/>
      <c r="C79" s="173"/>
      <c r="D79" s="123"/>
      <c r="E79" s="136"/>
      <c r="F79" s="136"/>
      <c r="G79" s="136"/>
      <c r="H79" s="108"/>
      <c r="I79" s="136"/>
      <c r="J79" s="136"/>
      <c r="K79" s="108" t="str">
        <f t="shared" si="17"/>
        <v/>
      </c>
      <c r="L79" s="108"/>
      <c r="M79" s="127" t="str">
        <f>IF($J79="","",IF(OR($J79="Litre",$J79="Tonne"),_xlfn.XLOOKUP(G79&amp;L79&amp;K79,Conversions!$E$20:$E$104,Conversions!$F$20:$F$104),INDEX(Conversions!$C$4:$I$10,MATCH('V1 - Fuels (Mobile)'!$K79,Conversions!$B$4:$B$10,0),MATCH('V1 - Fuels (Mobile)'!$L79,Conversions!$C$3:$I$3,0))))</f>
        <v/>
      </c>
      <c r="N79" s="136"/>
      <c r="O79" s="136"/>
      <c r="P79" s="192" t="str">
        <f t="shared" si="21"/>
        <v/>
      </c>
      <c r="Q79" s="136"/>
      <c r="R79" s="136"/>
      <c r="S79" s="67"/>
      <c r="T79" s="108" t="str">
        <f t="shared" si="18"/>
        <v/>
      </c>
      <c r="U79" s="108" t="str">
        <f>IF(J79="","",_xlfn.XLOOKUP(H79,'Emission Factors'!$M$432:$M$787,'Emission Factors'!$U$432:$U$787))</f>
        <v/>
      </c>
      <c r="V79" s="127" t="str">
        <f>IF($J79="","",IF(OR($J79="Litre",$J79="Tonne"),_xlfn.XLOOKUP(G79&amp;U79&amp;T79,Conversions!$E$20:$E$104,Conversions!$F$20:$F$104),INDEX(Conversions!$C$4:$I$10,MATCH('V1 - Fuels (Mobile)'!$T79,Conversions!$B$4:$B$10,0),MATCH('V1 - Fuels (Mobile)'!$U79,Conversions!$C$3:$I$3,0))))</f>
        <v/>
      </c>
      <c r="W79" s="127" t="str">
        <f>IF(J79="","",_xlfn.XLOOKUP(H79,'Emission Factors'!$M$432:$M$787,'Emission Factors'!$S$432:$S$787)*V79)</f>
        <v/>
      </c>
      <c r="X79" s="109" t="str">
        <f t="shared" si="19"/>
        <v/>
      </c>
      <c r="Y79" s="193" t="str">
        <f t="shared" si="20"/>
        <v/>
      </c>
      <c r="Z79" s="108" t="str">
        <f>IF(J79="","",_xlfn.XLOOKUP(H79,'Emission Factors'!$M484:$M841,'Emission Factors'!$W484:$W841))</f>
        <v/>
      </c>
      <c r="AA79" s="67"/>
      <c r="AB79" s="67"/>
      <c r="AC79" s="67"/>
      <c r="AD79" s="151"/>
    </row>
    <row r="80" spans="2:30" hidden="1">
      <c r="B80" s="166"/>
      <c r="C80" s="173"/>
      <c r="D80" s="123"/>
      <c r="E80" s="136"/>
      <c r="F80" s="136"/>
      <c r="G80" s="136"/>
      <c r="H80" s="108"/>
      <c r="I80" s="136"/>
      <c r="J80" s="136"/>
      <c r="K80" s="108" t="str">
        <f t="shared" si="17"/>
        <v/>
      </c>
      <c r="L80" s="108"/>
      <c r="M80" s="127" t="str">
        <f>IF($J80="","",IF(OR($J80="Litre",$J80="Tonne"),_xlfn.XLOOKUP(G80&amp;L80&amp;K80,Conversions!$E$20:$E$104,Conversions!$F$20:$F$104),INDEX(Conversions!$C$4:$I$10,MATCH('V1 - Fuels (Mobile)'!$K80,Conversions!$B$4:$B$10,0),MATCH('V1 - Fuels (Mobile)'!$L80,Conversions!$C$3:$I$3,0))))</f>
        <v/>
      </c>
      <c r="N80" s="136"/>
      <c r="O80" s="136"/>
      <c r="P80" s="192" t="str">
        <f t="shared" si="21"/>
        <v/>
      </c>
      <c r="Q80" s="136"/>
      <c r="R80" s="136"/>
      <c r="S80" s="67"/>
      <c r="T80" s="108" t="str">
        <f t="shared" si="18"/>
        <v/>
      </c>
      <c r="U80" s="108" t="str">
        <f>IF(J80="","",_xlfn.XLOOKUP(H80,'Emission Factors'!$M$432:$M$787,'Emission Factors'!$U$432:$U$787))</f>
        <v/>
      </c>
      <c r="V80" s="127" t="str">
        <f>IF($J80="","",IF(OR($J80="Litre",$J80="Tonne"),_xlfn.XLOOKUP(G80&amp;U80&amp;T80,Conversions!$E$20:$E$104,Conversions!$F$20:$F$104),INDEX(Conversions!$C$4:$I$10,MATCH('V1 - Fuels (Mobile)'!$T80,Conversions!$B$4:$B$10,0),MATCH('V1 - Fuels (Mobile)'!$U80,Conversions!$C$3:$I$3,0))))</f>
        <v/>
      </c>
      <c r="W80" s="127" t="str">
        <f>IF(J80="","",_xlfn.XLOOKUP(H80,'Emission Factors'!$M$432:$M$787,'Emission Factors'!$S$432:$S$787)*V80)</f>
        <v/>
      </c>
      <c r="X80" s="109" t="str">
        <f t="shared" si="19"/>
        <v/>
      </c>
      <c r="Y80" s="193" t="str">
        <f t="shared" si="20"/>
        <v/>
      </c>
      <c r="Z80" s="108" t="str">
        <f>IF(J80="","",_xlfn.XLOOKUP(H80,'Emission Factors'!$M485:$M842,'Emission Factors'!$W485:$W842))</f>
        <v/>
      </c>
      <c r="AA80" s="67"/>
      <c r="AB80" s="67"/>
      <c r="AC80" s="67"/>
      <c r="AD80" s="151"/>
    </row>
    <row r="81" spans="2:30" hidden="1">
      <c r="B81" s="166"/>
      <c r="C81" s="173"/>
      <c r="D81" s="123"/>
      <c r="E81" s="136"/>
      <c r="F81" s="136"/>
      <c r="G81" s="136"/>
      <c r="H81" s="108"/>
      <c r="I81" s="136"/>
      <c r="J81" s="136"/>
      <c r="K81" s="108" t="str">
        <f t="shared" si="17"/>
        <v/>
      </c>
      <c r="L81" s="108"/>
      <c r="M81" s="127" t="str">
        <f>IF($J81="","",IF(OR($J81="Litre",$J81="Tonne"),_xlfn.XLOOKUP(G81&amp;L81&amp;K81,Conversions!$E$20:$E$104,Conversions!$F$20:$F$104),INDEX(Conversions!$C$4:$I$10,MATCH('V1 - Fuels (Mobile)'!$K81,Conversions!$B$4:$B$10,0),MATCH('V1 - Fuels (Mobile)'!$L81,Conversions!$C$3:$I$3,0))))</f>
        <v/>
      </c>
      <c r="N81" s="136"/>
      <c r="O81" s="136"/>
      <c r="P81" s="192" t="str">
        <f t="shared" si="21"/>
        <v/>
      </c>
      <c r="Q81" s="136"/>
      <c r="R81" s="136"/>
      <c r="S81" s="67"/>
      <c r="T81" s="108" t="str">
        <f t="shared" si="18"/>
        <v/>
      </c>
      <c r="U81" s="108" t="str">
        <f>IF(J81="","",_xlfn.XLOOKUP(H81,'Emission Factors'!$M$432:$M$787,'Emission Factors'!$U$432:$U$787))</f>
        <v/>
      </c>
      <c r="V81" s="127" t="str">
        <f>IF($J81="","",IF(OR($J81="Litre",$J81="Tonne"),_xlfn.XLOOKUP(G81&amp;U81&amp;T81,Conversions!$E$20:$E$104,Conversions!$F$20:$F$104),INDEX(Conversions!$C$4:$I$10,MATCH('V1 - Fuels (Mobile)'!$T81,Conversions!$B$4:$B$10,0),MATCH('V1 - Fuels (Mobile)'!$U81,Conversions!$C$3:$I$3,0))))</f>
        <v/>
      </c>
      <c r="W81" s="127" t="str">
        <f>IF(J81="","",_xlfn.XLOOKUP(H81,'Emission Factors'!$M$432:$M$787,'Emission Factors'!$S$432:$S$787)*V81)</f>
        <v/>
      </c>
      <c r="X81" s="109" t="str">
        <f t="shared" si="19"/>
        <v/>
      </c>
      <c r="Y81" s="193" t="str">
        <f t="shared" si="20"/>
        <v/>
      </c>
      <c r="Z81" s="108" t="str">
        <f>IF(J81="","",_xlfn.XLOOKUP(H81,'Emission Factors'!$M487:$M843,'Emission Factors'!$W487:$W843))</f>
        <v/>
      </c>
      <c r="AA81" s="67"/>
      <c r="AB81" s="67"/>
      <c r="AC81" s="67"/>
      <c r="AD81" s="151"/>
    </row>
    <row r="82" spans="2:30" hidden="1">
      <c r="B82" s="166"/>
      <c r="C82" s="173"/>
      <c r="D82" s="123"/>
      <c r="E82" s="136"/>
      <c r="F82" s="136"/>
      <c r="G82" s="136"/>
      <c r="H82" s="108"/>
      <c r="I82" s="136"/>
      <c r="J82" s="136"/>
      <c r="K82" s="108" t="str">
        <f t="shared" si="17"/>
        <v/>
      </c>
      <c r="L82" s="108"/>
      <c r="M82" s="127" t="str">
        <f>IF($J82="","",IF(OR($J82="Litre",$J82="Tonne"),_xlfn.XLOOKUP(G82&amp;L82&amp;K82,Conversions!$E$20:$E$104,Conversions!$F$20:$F$104),INDEX(Conversions!$C$4:$I$10,MATCH('V1 - Fuels (Mobile)'!$K82,Conversions!$B$4:$B$10,0),MATCH('V1 - Fuels (Mobile)'!$L82,Conversions!$C$3:$I$3,0))))</f>
        <v/>
      </c>
      <c r="N82" s="136"/>
      <c r="O82" s="136"/>
      <c r="P82" s="192" t="str">
        <f t="shared" si="21"/>
        <v/>
      </c>
      <c r="Q82" s="136"/>
      <c r="R82" s="136"/>
      <c r="S82" s="67"/>
      <c r="T82" s="108" t="str">
        <f t="shared" si="18"/>
        <v/>
      </c>
      <c r="U82" s="108" t="str">
        <f>IF(J82="","",_xlfn.XLOOKUP(H82,'Emission Factors'!$M$432:$M$787,'Emission Factors'!$U$432:$U$787))</f>
        <v/>
      </c>
      <c r="V82" s="127" t="str">
        <f>IF($J82="","",IF(OR($J82="Litre",$J82="Tonne"),_xlfn.XLOOKUP(G82&amp;U82&amp;T82,Conversions!$E$20:$E$104,Conversions!$F$20:$F$104),INDEX(Conversions!$C$4:$I$10,MATCH('V1 - Fuels (Mobile)'!$T82,Conversions!$B$4:$B$10,0),MATCH('V1 - Fuels (Mobile)'!$U82,Conversions!$C$3:$I$3,0))))</f>
        <v/>
      </c>
      <c r="W82" s="127" t="str">
        <f>IF(J82="","",_xlfn.XLOOKUP(H82,'Emission Factors'!$M$432:$M$787,'Emission Factors'!$S$432:$S$787)*V82)</f>
        <v/>
      </c>
      <c r="X82" s="109" t="str">
        <f t="shared" si="19"/>
        <v/>
      </c>
      <c r="Y82" s="193" t="str">
        <f t="shared" si="20"/>
        <v/>
      </c>
      <c r="Z82" s="108" t="str">
        <f>IF(J82="","",_xlfn.XLOOKUP(H82,'Emission Factors'!$M488:$M844,'Emission Factors'!$W488:$W844))</f>
        <v/>
      </c>
      <c r="AA82" s="67"/>
      <c r="AB82" s="67"/>
      <c r="AC82" s="67"/>
      <c r="AD82" s="151"/>
    </row>
    <row r="83" spans="2:30" hidden="1">
      <c r="B83" s="166"/>
      <c r="C83" s="173"/>
      <c r="D83" s="123"/>
      <c r="E83" s="136"/>
      <c r="F83" s="136"/>
      <c r="G83" s="136"/>
      <c r="H83" s="108"/>
      <c r="I83" s="136"/>
      <c r="J83" s="136"/>
      <c r="K83" s="108" t="str">
        <f t="shared" si="17"/>
        <v/>
      </c>
      <c r="L83" s="108"/>
      <c r="M83" s="127" t="str">
        <f>IF($J83="","",IF(OR($J83="Litre",$J83="Tonne"),_xlfn.XLOOKUP(G83&amp;L83&amp;K83,Conversions!$E$20:$E$104,Conversions!$F$20:$F$104),INDEX(Conversions!$C$4:$I$10,MATCH('V1 - Fuels (Mobile)'!$K83,Conversions!$B$4:$B$10,0),MATCH('V1 - Fuels (Mobile)'!$L83,Conversions!$C$3:$I$3,0))))</f>
        <v/>
      </c>
      <c r="N83" s="136"/>
      <c r="O83" s="136"/>
      <c r="P83" s="192" t="str">
        <f t="shared" si="21"/>
        <v/>
      </c>
      <c r="Q83" s="136"/>
      <c r="R83" s="136"/>
      <c r="S83" s="67"/>
      <c r="T83" s="108" t="str">
        <f t="shared" si="18"/>
        <v/>
      </c>
      <c r="U83" s="108" t="str">
        <f>IF(J83="","",_xlfn.XLOOKUP(H83,'Emission Factors'!$M$432:$M$787,'Emission Factors'!$U$432:$U$787))</f>
        <v/>
      </c>
      <c r="V83" s="127" t="str">
        <f>IF($J83="","",IF(OR($J83="Litre",$J83="Tonne"),_xlfn.XLOOKUP(G83&amp;U83&amp;T83,Conversions!$E$20:$E$104,Conversions!$F$20:$F$104),INDEX(Conversions!$C$4:$I$10,MATCH('V1 - Fuels (Mobile)'!$T83,Conversions!$B$4:$B$10,0),MATCH('V1 - Fuels (Mobile)'!$U83,Conversions!$C$3:$I$3,0))))</f>
        <v/>
      </c>
      <c r="W83" s="127" t="str">
        <f>IF(J83="","",_xlfn.XLOOKUP(H83,'Emission Factors'!$M$432:$M$787,'Emission Factors'!$S$432:$S$787)*V83)</f>
        <v/>
      </c>
      <c r="X83" s="109" t="str">
        <f t="shared" si="19"/>
        <v/>
      </c>
      <c r="Y83" s="193" t="str">
        <f t="shared" si="20"/>
        <v/>
      </c>
      <c r="Z83" s="108" t="str">
        <f>IF(J83="","",_xlfn.XLOOKUP(H83,'Emission Factors'!$M489:$M845,'Emission Factors'!$W489:$W845))</f>
        <v/>
      </c>
      <c r="AA83" s="67"/>
      <c r="AB83" s="67"/>
      <c r="AC83" s="67"/>
      <c r="AD83" s="151"/>
    </row>
    <row r="84" spans="2:30" hidden="1">
      <c r="B84" s="166"/>
      <c r="C84" s="173"/>
      <c r="D84" s="123"/>
      <c r="E84" s="136"/>
      <c r="F84" s="136"/>
      <c r="G84" s="136"/>
      <c r="H84" s="108"/>
      <c r="I84" s="136"/>
      <c r="J84" s="136"/>
      <c r="K84" s="108" t="str">
        <f t="shared" si="17"/>
        <v/>
      </c>
      <c r="L84" s="108"/>
      <c r="M84" s="127" t="str">
        <f>IF($J84="","",IF(OR($J84="Litre",$J84="Tonne"),_xlfn.XLOOKUP(G84&amp;L84&amp;K84,Conversions!$E$20:$E$104,Conversions!$F$20:$F$104),INDEX(Conversions!$C$4:$I$10,MATCH('V1 - Fuels (Mobile)'!$K84,Conversions!$B$4:$B$10,0),MATCH('V1 - Fuels (Mobile)'!$L84,Conversions!$C$3:$I$3,0))))</f>
        <v/>
      </c>
      <c r="N84" s="136"/>
      <c r="O84" s="136"/>
      <c r="P84" s="192" t="str">
        <f t="shared" si="21"/>
        <v/>
      </c>
      <c r="Q84" s="136"/>
      <c r="R84" s="136"/>
      <c r="S84" s="67"/>
      <c r="T84" s="108" t="str">
        <f t="shared" si="18"/>
        <v/>
      </c>
      <c r="U84" s="108" t="str">
        <f>IF(J84="","",_xlfn.XLOOKUP(H84,'Emission Factors'!$M$432:$M$787,'Emission Factors'!$U$432:$U$787))</f>
        <v/>
      </c>
      <c r="V84" s="127" t="str">
        <f>IF($J84="","",IF(OR($J84="Litre",$J84="Tonne"),_xlfn.XLOOKUP(G84&amp;U84&amp;T84,Conversions!$E$20:$E$104,Conversions!$F$20:$F$104),INDEX(Conversions!$C$4:$I$10,MATCH('V1 - Fuels (Mobile)'!$T84,Conversions!$B$4:$B$10,0),MATCH('V1 - Fuels (Mobile)'!$U84,Conversions!$C$3:$I$3,0))))</f>
        <v/>
      </c>
      <c r="W84" s="127" t="str">
        <f>IF(J84="","",_xlfn.XLOOKUP(H84,'Emission Factors'!$M$432:$M$787,'Emission Factors'!$S$432:$S$787)*V84)</f>
        <v/>
      </c>
      <c r="X84" s="109" t="str">
        <f t="shared" si="19"/>
        <v/>
      </c>
      <c r="Y84" s="193" t="str">
        <f t="shared" si="20"/>
        <v/>
      </c>
      <c r="Z84" s="108" t="str">
        <f>IF(J84="","",_xlfn.XLOOKUP(H84,'Emission Factors'!$M490:$M846,'Emission Factors'!$W490:$W846))</f>
        <v/>
      </c>
      <c r="AA84" s="67"/>
      <c r="AB84" s="67"/>
      <c r="AC84" s="67"/>
      <c r="AD84" s="151"/>
    </row>
    <row r="85" spans="2:30" hidden="1">
      <c r="B85" s="166"/>
      <c r="C85" s="173"/>
      <c r="D85" s="123"/>
      <c r="E85" s="136"/>
      <c r="F85" s="136"/>
      <c r="G85" s="136"/>
      <c r="H85" s="108"/>
      <c r="I85" s="136"/>
      <c r="J85" s="136"/>
      <c r="K85" s="108" t="str">
        <f t="shared" si="17"/>
        <v/>
      </c>
      <c r="L85" s="108"/>
      <c r="M85" s="127" t="str">
        <f>IF($J85="","",IF(OR($J85="Litre",$J85="Tonne"),_xlfn.XLOOKUP(G85&amp;L85&amp;K85,Conversions!$E$20:$E$104,Conversions!$F$20:$F$104),INDEX(Conversions!$C$4:$I$10,MATCH('V1 - Fuels (Mobile)'!$K85,Conversions!$B$4:$B$10,0),MATCH('V1 - Fuels (Mobile)'!$L85,Conversions!$C$3:$I$3,0))))</f>
        <v/>
      </c>
      <c r="N85" s="136"/>
      <c r="O85" s="136"/>
      <c r="P85" s="192" t="str">
        <f t="shared" si="21"/>
        <v/>
      </c>
      <c r="Q85" s="136"/>
      <c r="R85" s="136"/>
      <c r="S85" s="67"/>
      <c r="T85" s="108" t="str">
        <f t="shared" si="18"/>
        <v/>
      </c>
      <c r="U85" s="108" t="str">
        <f>IF(J85="","",_xlfn.XLOOKUP(H85,'Emission Factors'!$M$432:$M$787,'Emission Factors'!$U$432:$U$787))</f>
        <v/>
      </c>
      <c r="V85" s="127" t="str">
        <f>IF($J85="","",IF(OR($J85="Litre",$J85="Tonne"),_xlfn.XLOOKUP(G85&amp;U85&amp;T85,Conversions!$E$20:$E$104,Conversions!$F$20:$F$104),INDEX(Conversions!$C$4:$I$10,MATCH('V1 - Fuels (Mobile)'!$T85,Conversions!$B$4:$B$10,0),MATCH('V1 - Fuels (Mobile)'!$U85,Conversions!$C$3:$I$3,0))))</f>
        <v/>
      </c>
      <c r="W85" s="127" t="str">
        <f>IF(J85="","",_xlfn.XLOOKUP(H85,'Emission Factors'!$M$432:$M$787,'Emission Factors'!$S$432:$S$787)*V85)</f>
        <v/>
      </c>
      <c r="X85" s="109" t="str">
        <f t="shared" si="19"/>
        <v/>
      </c>
      <c r="Y85" s="193" t="str">
        <f t="shared" si="20"/>
        <v/>
      </c>
      <c r="Z85" s="108" t="str">
        <f>IF(J85="","",_xlfn.XLOOKUP(H85,'Emission Factors'!$M491:$M847,'Emission Factors'!$W491:$W847))</f>
        <v/>
      </c>
      <c r="AA85" s="67"/>
      <c r="AB85" s="67"/>
      <c r="AC85" s="67"/>
      <c r="AD85" s="151"/>
    </row>
    <row r="86" spans="2:30" hidden="1">
      <c r="B86" s="166"/>
      <c r="C86" s="173"/>
      <c r="D86" s="123"/>
      <c r="E86" s="136"/>
      <c r="F86" s="136"/>
      <c r="G86" s="136"/>
      <c r="H86" s="108"/>
      <c r="I86" s="136"/>
      <c r="J86" s="136"/>
      <c r="K86" s="108" t="str">
        <f t="shared" si="17"/>
        <v/>
      </c>
      <c r="L86" s="108"/>
      <c r="M86" s="127" t="str">
        <f>IF($J86="","",IF(OR($J86="Litre",$J86="Tonne"),_xlfn.XLOOKUP(G86&amp;L86&amp;K86,Conversions!$E$20:$E$104,Conversions!$F$20:$F$104),INDEX(Conversions!$C$4:$I$10,MATCH('V1 - Fuels (Mobile)'!$K86,Conversions!$B$4:$B$10,0),MATCH('V1 - Fuels (Mobile)'!$L86,Conversions!$C$3:$I$3,0))))</f>
        <v/>
      </c>
      <c r="N86" s="136"/>
      <c r="O86" s="136"/>
      <c r="P86" s="192" t="str">
        <f t="shared" si="21"/>
        <v/>
      </c>
      <c r="Q86" s="136"/>
      <c r="R86" s="136"/>
      <c r="S86" s="67"/>
      <c r="T86" s="108" t="str">
        <f t="shared" si="18"/>
        <v/>
      </c>
      <c r="U86" s="108" t="str">
        <f>IF(J86="","",_xlfn.XLOOKUP(H86,'Emission Factors'!$M$432:$M$787,'Emission Factors'!$U$432:$U$787))</f>
        <v/>
      </c>
      <c r="V86" s="127" t="str">
        <f>IF($J86="","",IF(OR($J86="Litre",$J86="Tonne"),_xlfn.XLOOKUP(G86&amp;U86&amp;T86,Conversions!$E$20:$E$104,Conversions!$F$20:$F$104),INDEX(Conversions!$C$4:$I$10,MATCH('V1 - Fuels (Mobile)'!$T86,Conversions!$B$4:$B$10,0),MATCH('V1 - Fuels (Mobile)'!$U86,Conversions!$C$3:$I$3,0))))</f>
        <v/>
      </c>
      <c r="W86" s="127" t="str">
        <f>IF(J86="","",_xlfn.XLOOKUP(H86,'Emission Factors'!$M$432:$M$787,'Emission Factors'!$S$432:$S$787)*V86)</f>
        <v/>
      </c>
      <c r="X86" s="109" t="str">
        <f t="shared" si="19"/>
        <v/>
      </c>
      <c r="Y86" s="193" t="str">
        <f t="shared" si="20"/>
        <v/>
      </c>
      <c r="Z86" s="108" t="str">
        <f>IF(J86="","",_xlfn.XLOOKUP(H86,'Emission Factors'!$M492:$M848,'Emission Factors'!$W492:$W848))</f>
        <v/>
      </c>
      <c r="AA86" s="67"/>
      <c r="AB86" s="67"/>
      <c r="AC86" s="67"/>
      <c r="AD86" s="151"/>
    </row>
    <row r="87" spans="2:30" hidden="1">
      <c r="B87" s="166"/>
      <c r="C87" s="173"/>
      <c r="D87" s="123"/>
      <c r="E87" s="136"/>
      <c r="F87" s="136"/>
      <c r="G87" s="136"/>
      <c r="H87" s="108"/>
      <c r="I87" s="136"/>
      <c r="J87" s="136"/>
      <c r="K87" s="108" t="str">
        <f t="shared" si="17"/>
        <v/>
      </c>
      <c r="L87" s="108"/>
      <c r="M87" s="127" t="str">
        <f>IF($J87="","",IF(OR($J87="Litre",$J87="Tonne"),_xlfn.XLOOKUP(G87&amp;L87&amp;K87,Conversions!$E$20:$E$104,Conversions!$F$20:$F$104),INDEX(Conversions!$C$4:$I$10,MATCH('V1 - Fuels (Mobile)'!$K87,Conversions!$B$4:$B$10,0),MATCH('V1 - Fuels (Mobile)'!$L87,Conversions!$C$3:$I$3,0))))</f>
        <v/>
      </c>
      <c r="N87" s="136"/>
      <c r="O87" s="136"/>
      <c r="P87" s="192" t="str">
        <f t="shared" si="21"/>
        <v/>
      </c>
      <c r="Q87" s="136"/>
      <c r="R87" s="136"/>
      <c r="S87" s="67"/>
      <c r="T87" s="108" t="str">
        <f t="shared" si="18"/>
        <v/>
      </c>
      <c r="U87" s="108" t="str">
        <f>IF(J87="","",_xlfn.XLOOKUP(H87,'Emission Factors'!$M$432:$M$787,'Emission Factors'!$U$432:$U$787))</f>
        <v/>
      </c>
      <c r="V87" s="127" t="str">
        <f>IF($J87="","",IF(OR($J87="Litre",$J87="Tonne"),_xlfn.XLOOKUP(G87&amp;U87&amp;T87,Conversions!$E$20:$E$104,Conversions!$F$20:$F$104),INDEX(Conversions!$C$4:$I$10,MATCH('V1 - Fuels (Mobile)'!$T87,Conversions!$B$4:$B$10,0),MATCH('V1 - Fuels (Mobile)'!$U87,Conversions!$C$3:$I$3,0))))</f>
        <v/>
      </c>
      <c r="W87" s="127" t="str">
        <f>IF(J87="","",_xlfn.XLOOKUP(H87,'Emission Factors'!$M$432:$M$787,'Emission Factors'!$S$432:$S$787)*V87)</f>
        <v/>
      </c>
      <c r="X87" s="109" t="str">
        <f t="shared" si="19"/>
        <v/>
      </c>
      <c r="Y87" s="193" t="str">
        <f t="shared" si="20"/>
        <v/>
      </c>
      <c r="Z87" s="108" t="str">
        <f>IF(J87="","",_xlfn.XLOOKUP(H87,'Emission Factors'!$M493:$M849,'Emission Factors'!$W493:$W849))</f>
        <v/>
      </c>
      <c r="AA87" s="67"/>
      <c r="AB87" s="67"/>
      <c r="AC87" s="67"/>
      <c r="AD87" s="151"/>
    </row>
    <row r="88" spans="2:30" hidden="1">
      <c r="B88" s="166"/>
      <c r="C88" s="173"/>
      <c r="D88" s="123"/>
      <c r="E88" s="136"/>
      <c r="F88" s="136"/>
      <c r="G88" s="136"/>
      <c r="H88" s="108"/>
      <c r="I88" s="136"/>
      <c r="J88" s="136"/>
      <c r="K88" s="108" t="str">
        <f t="shared" si="17"/>
        <v/>
      </c>
      <c r="L88" s="108"/>
      <c r="M88" s="127" t="str">
        <f>IF($J88="","",IF(OR($J88="Litre",$J88="Tonne"),_xlfn.XLOOKUP(G88&amp;L88&amp;K88,Conversions!$E$20:$E$104,Conversions!$F$20:$F$104),INDEX(Conversions!$C$4:$I$10,MATCH('V1 - Fuels (Mobile)'!$K88,Conversions!$B$4:$B$10,0),MATCH('V1 - Fuels (Mobile)'!$L88,Conversions!$C$3:$I$3,0))))</f>
        <v/>
      </c>
      <c r="N88" s="136"/>
      <c r="O88" s="136"/>
      <c r="P88" s="192" t="str">
        <f t="shared" si="21"/>
        <v/>
      </c>
      <c r="Q88" s="136"/>
      <c r="R88" s="136"/>
      <c r="S88" s="67"/>
      <c r="T88" s="108" t="str">
        <f t="shared" si="18"/>
        <v/>
      </c>
      <c r="U88" s="108" t="str">
        <f>IF(J88="","",_xlfn.XLOOKUP(H88,'Emission Factors'!$M$432:$M$787,'Emission Factors'!$U$432:$U$787))</f>
        <v/>
      </c>
      <c r="V88" s="127" t="str">
        <f>IF($J88="","",IF(OR($J88="Litre",$J88="Tonne"),_xlfn.XLOOKUP(G88&amp;U88&amp;T88,Conversions!$E$20:$E$104,Conversions!$F$20:$F$104),INDEX(Conversions!$C$4:$I$10,MATCH('V1 - Fuels (Mobile)'!$T88,Conversions!$B$4:$B$10,0),MATCH('V1 - Fuels (Mobile)'!$U88,Conversions!$C$3:$I$3,0))))</f>
        <v/>
      </c>
      <c r="W88" s="127" t="str">
        <f>IF(J88="","",_xlfn.XLOOKUP(H88,'Emission Factors'!$M$432:$M$787,'Emission Factors'!$S$432:$S$787)*V88)</f>
        <v/>
      </c>
      <c r="X88" s="109" t="str">
        <f t="shared" si="19"/>
        <v/>
      </c>
      <c r="Y88" s="193" t="str">
        <f t="shared" si="20"/>
        <v/>
      </c>
      <c r="Z88" s="108" t="str">
        <f>IF(J88="","",_xlfn.XLOOKUP(H88,'Emission Factors'!$M494:$M850,'Emission Factors'!$W494:$W850))</f>
        <v/>
      </c>
      <c r="AA88" s="67"/>
      <c r="AB88" s="67"/>
      <c r="AC88" s="67"/>
      <c r="AD88" s="151"/>
    </row>
    <row r="89" spans="2:30" hidden="1">
      <c r="B89" s="166"/>
      <c r="C89" s="173"/>
      <c r="D89" s="123"/>
      <c r="E89" s="136"/>
      <c r="F89" s="136"/>
      <c r="G89" s="136"/>
      <c r="H89" s="108"/>
      <c r="I89" s="136"/>
      <c r="J89" s="136"/>
      <c r="K89" s="108" t="str">
        <f t="shared" si="17"/>
        <v/>
      </c>
      <c r="L89" s="108"/>
      <c r="M89" s="127" t="str">
        <f>IF($J89="","",IF(OR($J89="Litre",$J89="Tonne"),_xlfn.XLOOKUP(G89&amp;L89&amp;K89,Conversions!$E$20:$E$104,Conversions!$F$20:$F$104),INDEX(Conversions!$C$4:$I$10,MATCH('V1 - Fuels (Mobile)'!$K89,Conversions!$B$4:$B$10,0),MATCH('V1 - Fuels (Mobile)'!$L89,Conversions!$C$3:$I$3,0))))</f>
        <v/>
      </c>
      <c r="N89" s="136"/>
      <c r="O89" s="136"/>
      <c r="P89" s="192" t="str">
        <f t="shared" si="21"/>
        <v/>
      </c>
      <c r="Q89" s="136"/>
      <c r="R89" s="136"/>
      <c r="S89" s="67"/>
      <c r="T89" s="108" t="str">
        <f t="shared" si="18"/>
        <v/>
      </c>
      <c r="U89" s="108" t="str">
        <f>IF(J89="","",_xlfn.XLOOKUP(H89,'Emission Factors'!$M$432:$M$787,'Emission Factors'!$U$432:$U$787))</f>
        <v/>
      </c>
      <c r="V89" s="127" t="str">
        <f>IF($J89="","",IF(OR($J89="Litre",$J89="Tonne"),_xlfn.XLOOKUP(G89&amp;U89&amp;T89,Conversions!$E$20:$E$104,Conversions!$F$20:$F$104),INDEX(Conversions!$C$4:$I$10,MATCH('V1 - Fuels (Mobile)'!$T89,Conversions!$B$4:$B$10,0),MATCH('V1 - Fuels (Mobile)'!$U89,Conversions!$C$3:$I$3,0))))</f>
        <v/>
      </c>
      <c r="W89" s="127" t="str">
        <f>IF(J89="","",_xlfn.XLOOKUP(H89,'Emission Factors'!$M$432:$M$787,'Emission Factors'!$S$432:$S$787)*V89)</f>
        <v/>
      </c>
      <c r="X89" s="109" t="str">
        <f t="shared" si="19"/>
        <v/>
      </c>
      <c r="Y89" s="193" t="str">
        <f t="shared" si="20"/>
        <v/>
      </c>
      <c r="Z89" s="108" t="str">
        <f>IF(J89="","",_xlfn.XLOOKUP(H89,'Emission Factors'!$M495:$M851,'Emission Factors'!$W495:$W851))</f>
        <v/>
      </c>
      <c r="AA89" s="67"/>
      <c r="AB89" s="67"/>
      <c r="AC89" s="67"/>
      <c r="AD89" s="151"/>
    </row>
    <row r="90" spans="2:30" hidden="1">
      <c r="B90" s="166"/>
      <c r="C90" s="173"/>
      <c r="D90" s="123"/>
      <c r="E90" s="136"/>
      <c r="F90" s="136"/>
      <c r="G90" s="136"/>
      <c r="H90" s="108"/>
      <c r="I90" s="136"/>
      <c r="J90" s="136"/>
      <c r="K90" s="108" t="str">
        <f t="shared" si="17"/>
        <v/>
      </c>
      <c r="L90" s="108"/>
      <c r="M90" s="127" t="str">
        <f>IF($J90="","",IF(OR($J90="Litre",$J90="Tonne"),_xlfn.XLOOKUP(G90&amp;L90&amp;K90,Conversions!$E$20:$E$104,Conversions!$F$20:$F$104),INDEX(Conversions!$C$4:$I$10,MATCH('V1 - Fuels (Mobile)'!$K90,Conversions!$B$4:$B$10,0),MATCH('V1 - Fuels (Mobile)'!$L90,Conversions!$C$3:$I$3,0))))</f>
        <v/>
      </c>
      <c r="N90" s="136"/>
      <c r="O90" s="136"/>
      <c r="P90" s="192" t="str">
        <f t="shared" si="21"/>
        <v/>
      </c>
      <c r="Q90" s="136"/>
      <c r="R90" s="136"/>
      <c r="S90" s="67"/>
      <c r="T90" s="108" t="str">
        <f t="shared" si="18"/>
        <v/>
      </c>
      <c r="U90" s="108" t="str">
        <f>IF(J90="","",_xlfn.XLOOKUP(H90,'Emission Factors'!$M$432:$M$787,'Emission Factors'!$U$432:$U$787))</f>
        <v/>
      </c>
      <c r="V90" s="127" t="str">
        <f>IF($J90="","",IF(OR($J90="Litre",$J90="Tonne"),_xlfn.XLOOKUP(G90&amp;U90&amp;T90,Conversions!$E$20:$E$104,Conversions!$F$20:$F$104),INDEX(Conversions!$C$4:$I$10,MATCH('V1 - Fuels (Mobile)'!$T90,Conversions!$B$4:$B$10,0),MATCH('V1 - Fuels (Mobile)'!$U90,Conversions!$C$3:$I$3,0))))</f>
        <v/>
      </c>
      <c r="W90" s="127" t="str">
        <f>IF(J90="","",_xlfn.XLOOKUP(H90,'Emission Factors'!$M$432:$M$787,'Emission Factors'!$S$432:$S$787)*V90)</f>
        <v/>
      </c>
      <c r="X90" s="109" t="str">
        <f t="shared" si="19"/>
        <v/>
      </c>
      <c r="Y90" s="193" t="str">
        <f t="shared" si="20"/>
        <v/>
      </c>
      <c r="Z90" s="108" t="str">
        <f>IF(J90="","",_xlfn.XLOOKUP(H90,'Emission Factors'!$M496:$M852,'Emission Factors'!$W496:$W852))</f>
        <v/>
      </c>
      <c r="AA90" s="67"/>
      <c r="AB90" s="67"/>
      <c r="AC90" s="67"/>
      <c r="AD90" s="151"/>
    </row>
    <row r="91" spans="2:30" hidden="1">
      <c r="B91" s="166"/>
      <c r="C91" s="173"/>
      <c r="D91" s="123"/>
      <c r="E91" s="136"/>
      <c r="F91" s="136"/>
      <c r="G91" s="136"/>
      <c r="H91" s="108"/>
      <c r="I91" s="136"/>
      <c r="J91" s="136"/>
      <c r="K91" s="108" t="str">
        <f t="shared" si="17"/>
        <v/>
      </c>
      <c r="L91" s="108"/>
      <c r="M91" s="127" t="str">
        <f>IF($J91="","",IF(OR($J91="Litre",$J91="Tonne"),_xlfn.XLOOKUP(G91&amp;L91&amp;K91,Conversions!$E$20:$E$104,Conversions!$F$20:$F$104),INDEX(Conversions!$C$4:$I$10,MATCH('V1 - Fuels (Mobile)'!$K91,Conversions!$B$4:$B$10,0),MATCH('V1 - Fuels (Mobile)'!$L91,Conversions!$C$3:$I$3,0))))</f>
        <v/>
      </c>
      <c r="N91" s="136"/>
      <c r="O91" s="136"/>
      <c r="P91" s="192" t="str">
        <f t="shared" si="21"/>
        <v/>
      </c>
      <c r="Q91" s="136"/>
      <c r="R91" s="136"/>
      <c r="S91" s="67"/>
      <c r="T91" s="108" t="str">
        <f t="shared" si="18"/>
        <v/>
      </c>
      <c r="U91" s="108" t="str">
        <f>IF(J91="","",_xlfn.XLOOKUP(H91,'Emission Factors'!$M$432:$M$787,'Emission Factors'!$U$432:$U$787))</f>
        <v/>
      </c>
      <c r="V91" s="127" t="str">
        <f>IF($J91="","",IF(OR($J91="Litre",$J91="Tonne"),_xlfn.XLOOKUP(G91&amp;U91&amp;T91,Conversions!$E$20:$E$104,Conversions!$F$20:$F$104),INDEX(Conversions!$C$4:$I$10,MATCH('V1 - Fuels (Mobile)'!$T91,Conversions!$B$4:$B$10,0),MATCH('V1 - Fuels (Mobile)'!$U91,Conversions!$C$3:$I$3,0))))</f>
        <v/>
      </c>
      <c r="W91" s="127" t="str">
        <f>IF(J91="","",_xlfn.XLOOKUP(H91,'Emission Factors'!$M$432:$M$787,'Emission Factors'!$S$432:$S$787)*V91)</f>
        <v/>
      </c>
      <c r="X91" s="109" t="str">
        <f t="shared" si="19"/>
        <v/>
      </c>
      <c r="Y91" s="193" t="str">
        <f t="shared" si="20"/>
        <v/>
      </c>
      <c r="Z91" s="108" t="str">
        <f>IF(J91="","",_xlfn.XLOOKUP(H91,'Emission Factors'!$M497:$M853,'Emission Factors'!$W497:$W853))</f>
        <v/>
      </c>
      <c r="AA91" s="67"/>
      <c r="AB91" s="67"/>
      <c r="AC91" s="67"/>
      <c r="AD91" s="151"/>
    </row>
    <row r="92" spans="2:30" hidden="1">
      <c r="B92" s="166"/>
      <c r="C92" s="173"/>
      <c r="D92" s="123"/>
      <c r="E92" s="136"/>
      <c r="F92" s="136"/>
      <c r="G92" s="136"/>
      <c r="H92" s="108"/>
      <c r="I92" s="136"/>
      <c r="J92" s="136"/>
      <c r="K92" s="108" t="str">
        <f t="shared" si="17"/>
        <v/>
      </c>
      <c r="L92" s="108"/>
      <c r="M92" s="127" t="str">
        <f>IF($J92="","",IF(OR($J92="Litre",$J92="Tonne"),_xlfn.XLOOKUP(G92&amp;L92&amp;K92,Conversions!$E$20:$E$104,Conversions!$F$20:$F$104),INDEX(Conversions!$C$4:$I$10,MATCH('V1 - Fuels (Mobile)'!$K92,Conversions!$B$4:$B$10,0),MATCH('V1 - Fuels (Mobile)'!$L92,Conversions!$C$3:$I$3,0))))</f>
        <v/>
      </c>
      <c r="N92" s="136"/>
      <c r="O92" s="136"/>
      <c r="P92" s="192" t="str">
        <f t="shared" si="21"/>
        <v/>
      </c>
      <c r="Q92" s="136"/>
      <c r="R92" s="136"/>
      <c r="S92" s="67"/>
      <c r="T92" s="108" t="str">
        <f t="shared" si="18"/>
        <v/>
      </c>
      <c r="U92" s="108" t="str">
        <f>IF(J92="","",_xlfn.XLOOKUP(H92,'Emission Factors'!$M$432:$M$787,'Emission Factors'!$U$432:$U$787))</f>
        <v/>
      </c>
      <c r="V92" s="127" t="str">
        <f>IF($J92="","",IF(OR($J92="Litre",$J92="Tonne"),_xlfn.XLOOKUP(G92&amp;U92&amp;T92,Conversions!$E$20:$E$104,Conversions!$F$20:$F$104),INDEX(Conversions!$C$4:$I$10,MATCH('V1 - Fuels (Mobile)'!$T92,Conversions!$B$4:$B$10,0),MATCH('V1 - Fuels (Mobile)'!$U92,Conversions!$C$3:$I$3,0))))</f>
        <v/>
      </c>
      <c r="W92" s="127" t="str">
        <f>IF(J92="","",_xlfn.XLOOKUP(H92,'Emission Factors'!$M$432:$M$787,'Emission Factors'!$S$432:$S$787)*V92)</f>
        <v/>
      </c>
      <c r="X92" s="109" t="str">
        <f t="shared" si="19"/>
        <v/>
      </c>
      <c r="Y92" s="193" t="str">
        <f t="shared" si="20"/>
        <v/>
      </c>
      <c r="Z92" s="108" t="str">
        <f>IF(J92="","",_xlfn.XLOOKUP(H92,'Emission Factors'!$M498:$M854,'Emission Factors'!$W498:$W854))</f>
        <v/>
      </c>
      <c r="AA92" s="67"/>
      <c r="AB92" s="67"/>
      <c r="AC92" s="67"/>
      <c r="AD92" s="151"/>
    </row>
    <row r="93" spans="2:30" hidden="1">
      <c r="B93" s="166"/>
      <c r="C93" s="173"/>
      <c r="D93" s="123"/>
      <c r="E93" s="136"/>
      <c r="F93" s="136"/>
      <c r="G93" s="136"/>
      <c r="H93" s="108"/>
      <c r="I93" s="136"/>
      <c r="J93" s="136"/>
      <c r="K93" s="108" t="str">
        <f t="shared" si="17"/>
        <v/>
      </c>
      <c r="L93" s="108"/>
      <c r="M93" s="127" t="str">
        <f>IF($J93="","",IF(OR($J93="Litre",$J93="Tonne"),_xlfn.XLOOKUP(G93&amp;L93&amp;K93,Conversions!$E$20:$E$104,Conversions!$F$20:$F$104),INDEX(Conversions!$C$4:$I$10,MATCH('V1 - Fuels (Mobile)'!$K93,Conversions!$B$4:$B$10,0),MATCH('V1 - Fuels (Mobile)'!$L93,Conversions!$C$3:$I$3,0))))</f>
        <v/>
      </c>
      <c r="N93" s="136"/>
      <c r="O93" s="136"/>
      <c r="P93" s="192" t="str">
        <f t="shared" si="21"/>
        <v/>
      </c>
      <c r="Q93" s="136"/>
      <c r="R93" s="136"/>
      <c r="S93" s="67"/>
      <c r="T93" s="108" t="str">
        <f t="shared" si="18"/>
        <v/>
      </c>
      <c r="U93" s="108" t="str">
        <f>IF(J93="","",_xlfn.XLOOKUP(H93,'Emission Factors'!$M$432:$M$787,'Emission Factors'!$U$432:$U$787))</f>
        <v/>
      </c>
      <c r="V93" s="127" t="str">
        <f>IF($J93="","",IF(OR($J93="Litre",$J93="Tonne"),_xlfn.XLOOKUP(G93&amp;U93&amp;T93,Conversions!$E$20:$E$104,Conversions!$F$20:$F$104),INDEX(Conversions!$C$4:$I$10,MATCH('V1 - Fuels (Mobile)'!$T93,Conversions!$B$4:$B$10,0),MATCH('V1 - Fuels (Mobile)'!$U93,Conversions!$C$3:$I$3,0))))</f>
        <v/>
      </c>
      <c r="W93" s="127" t="str">
        <f>IF(J93="","",_xlfn.XLOOKUP(H93,'Emission Factors'!$M$432:$M$787,'Emission Factors'!$S$432:$S$787)*V93)</f>
        <v/>
      </c>
      <c r="X93" s="109" t="str">
        <f t="shared" si="19"/>
        <v/>
      </c>
      <c r="Y93" s="193" t="str">
        <f t="shared" si="20"/>
        <v/>
      </c>
      <c r="Z93" s="108" t="str">
        <f>IF(J93="","",_xlfn.XLOOKUP(H93,'Emission Factors'!$M499:$M855,'Emission Factors'!$W499:$W855))</f>
        <v/>
      </c>
      <c r="AA93" s="67"/>
      <c r="AB93" s="67"/>
      <c r="AC93" s="67"/>
      <c r="AD93" s="151"/>
    </row>
    <row r="94" spans="2:30" hidden="1">
      <c r="B94" s="166"/>
      <c r="C94" s="173"/>
      <c r="D94" s="123"/>
      <c r="E94" s="136"/>
      <c r="F94" s="136"/>
      <c r="G94" s="136"/>
      <c r="H94" s="108"/>
      <c r="I94" s="136"/>
      <c r="J94" s="136"/>
      <c r="K94" s="108" t="str">
        <f t="shared" si="17"/>
        <v/>
      </c>
      <c r="L94" s="108"/>
      <c r="M94" s="127" t="str">
        <f>IF($J94="","",IF(OR($J94="Litre",$J94="Tonne"),_xlfn.XLOOKUP(G94&amp;L94&amp;K94,Conversions!$E$20:$E$104,Conversions!$F$20:$F$104),INDEX(Conversions!$C$4:$I$10,MATCH('V1 - Fuels (Mobile)'!$K94,Conversions!$B$4:$B$10,0),MATCH('V1 - Fuels (Mobile)'!$L94,Conversions!$C$3:$I$3,0))))</f>
        <v/>
      </c>
      <c r="N94" s="136"/>
      <c r="O94" s="136"/>
      <c r="P94" s="192" t="str">
        <f t="shared" si="21"/>
        <v/>
      </c>
      <c r="Q94" s="136"/>
      <c r="R94" s="136"/>
      <c r="S94" s="67"/>
      <c r="T94" s="108" t="str">
        <f t="shared" si="18"/>
        <v/>
      </c>
      <c r="U94" s="108" t="str">
        <f>IF(J94="","",_xlfn.XLOOKUP(H94,'Emission Factors'!$M$432:$M$787,'Emission Factors'!$U$432:$U$787))</f>
        <v/>
      </c>
      <c r="V94" s="127" t="str">
        <f>IF($J94="","",IF(OR($J94="Litre",$J94="Tonne"),_xlfn.XLOOKUP(G94&amp;U94&amp;T94,Conversions!$E$20:$E$104,Conversions!$F$20:$F$104),INDEX(Conversions!$C$4:$I$10,MATCH('V1 - Fuels (Mobile)'!$T94,Conversions!$B$4:$B$10,0),MATCH('V1 - Fuels (Mobile)'!$U94,Conversions!$C$3:$I$3,0))))</f>
        <v/>
      </c>
      <c r="W94" s="127" t="str">
        <f>IF(J94="","",_xlfn.XLOOKUP(H94,'Emission Factors'!$M$432:$M$787,'Emission Factors'!$S$432:$S$787)*V94)</f>
        <v/>
      </c>
      <c r="X94" s="109" t="str">
        <f t="shared" si="19"/>
        <v/>
      </c>
      <c r="Y94" s="193" t="str">
        <f t="shared" si="20"/>
        <v/>
      </c>
      <c r="Z94" s="108" t="str">
        <f>IF(J94="","",_xlfn.XLOOKUP(H94,'Emission Factors'!$M500:$M856,'Emission Factors'!$W500:$W856))</f>
        <v/>
      </c>
      <c r="AA94" s="67"/>
      <c r="AB94" s="67"/>
      <c r="AC94" s="67"/>
      <c r="AD94" s="151"/>
    </row>
    <row r="95" spans="2:30" hidden="1">
      <c r="B95" s="166"/>
      <c r="C95" s="173"/>
      <c r="D95" s="123"/>
      <c r="E95" s="136"/>
      <c r="F95" s="136"/>
      <c r="G95" s="136"/>
      <c r="H95" s="108"/>
      <c r="I95" s="136"/>
      <c r="J95" s="136"/>
      <c r="K95" s="108" t="str">
        <f t="shared" si="17"/>
        <v/>
      </c>
      <c r="L95" s="108"/>
      <c r="M95" s="127" t="str">
        <f>IF($J95="","",IF(OR($J95="Litre",$J95="Tonne"),_xlfn.XLOOKUP(G95&amp;L95&amp;K95,Conversions!$E$20:$E$104,Conversions!$F$20:$F$104),INDEX(Conversions!$C$4:$I$10,MATCH('V1 - Fuels (Mobile)'!$K95,Conversions!$B$4:$B$10,0),MATCH('V1 - Fuels (Mobile)'!$L95,Conversions!$C$3:$I$3,0))))</f>
        <v/>
      </c>
      <c r="N95" s="136"/>
      <c r="O95" s="136"/>
      <c r="P95" s="192" t="str">
        <f t="shared" si="21"/>
        <v/>
      </c>
      <c r="Q95" s="136"/>
      <c r="R95" s="136"/>
      <c r="S95" s="67"/>
      <c r="T95" s="108" t="str">
        <f t="shared" si="18"/>
        <v/>
      </c>
      <c r="U95" s="108" t="str">
        <f>IF(J95="","",_xlfn.XLOOKUP(H95,'Emission Factors'!$M$432:$M$787,'Emission Factors'!$U$432:$U$787))</f>
        <v/>
      </c>
      <c r="V95" s="127" t="str">
        <f>IF($J95="","",IF(OR($J95="Litre",$J95="Tonne"),_xlfn.XLOOKUP(G95&amp;U95&amp;T95,Conversions!$E$20:$E$104,Conversions!$F$20:$F$104),INDEX(Conversions!$C$4:$I$10,MATCH('V1 - Fuels (Mobile)'!$T95,Conversions!$B$4:$B$10,0),MATCH('V1 - Fuels (Mobile)'!$U95,Conversions!$C$3:$I$3,0))))</f>
        <v/>
      </c>
      <c r="W95" s="127" t="str">
        <f>IF(J95="","",_xlfn.XLOOKUP(H95,'Emission Factors'!$M$432:$M$787,'Emission Factors'!$S$432:$S$787)*V95)</f>
        <v/>
      </c>
      <c r="X95" s="109" t="str">
        <f t="shared" si="19"/>
        <v/>
      </c>
      <c r="Y95" s="193" t="str">
        <f t="shared" si="20"/>
        <v/>
      </c>
      <c r="Z95" s="108" t="str">
        <f>IF(J95="","",_xlfn.XLOOKUP(H95,'Emission Factors'!$M501:$M857,'Emission Factors'!$W501:$W857))</f>
        <v/>
      </c>
      <c r="AA95" s="67"/>
      <c r="AB95" s="67"/>
      <c r="AC95" s="67"/>
      <c r="AD95" s="151"/>
    </row>
    <row r="96" spans="2:30" hidden="1">
      <c r="B96" s="166"/>
      <c r="C96" s="173"/>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1"/>
    </row>
    <row r="97" spans="2:30" ht="15" hidden="1">
      <c r="B97" s="166"/>
      <c r="C97" s="173"/>
      <c r="D97" s="194" t="s">
        <v>220</v>
      </c>
      <c r="E97" s="195"/>
      <c r="F97" s="195"/>
      <c r="G97" s="195"/>
      <c r="H97" s="195"/>
      <c r="I97" s="195"/>
      <c r="J97" s="195"/>
      <c r="K97" s="195"/>
      <c r="L97" s="195"/>
      <c r="M97" s="195"/>
      <c r="N97" s="195"/>
      <c r="O97" s="195"/>
      <c r="P97" s="196">
        <f>SUM($P$66:$P$95)</f>
        <v>0</v>
      </c>
      <c r="Q97" s="195"/>
      <c r="R97" s="197"/>
      <c r="S97" s="67"/>
      <c r="T97" s="198"/>
      <c r="U97" s="195"/>
      <c r="V97" s="195"/>
      <c r="W97" s="195"/>
      <c r="X97" s="195"/>
      <c r="Y97" s="199">
        <f>SUM($Y$66:$Y$95)</f>
        <v>0</v>
      </c>
      <c r="Z97" s="200"/>
      <c r="AA97" s="67"/>
      <c r="AB97" s="67"/>
      <c r="AC97" s="67"/>
      <c r="AD97" s="151"/>
    </row>
    <row r="98" spans="2:30" hidden="1">
      <c r="B98" s="166"/>
      <c r="C98" s="173"/>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1"/>
    </row>
    <row r="100" spans="2:30">
      <c r="B100" s="166"/>
      <c r="C100" s="173"/>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1"/>
    </row>
    <row r="101" spans="2:30">
      <c r="B101" s="166"/>
      <c r="C101" s="173"/>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1"/>
    </row>
    <row r="102" spans="2:30">
      <c r="B102" s="166"/>
      <c r="C102" s="17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1"/>
    </row>
    <row r="103" spans="2:30">
      <c r="B103" s="166"/>
      <c r="C103" s="173"/>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1"/>
    </row>
    <row r="104" spans="2:30">
      <c r="B104" s="166"/>
      <c r="C104" s="173"/>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1"/>
    </row>
  </sheetData>
  <sheetProtection algorithmName="SHA-512" hashValue="fM3pRzVmEBxYkSE9zAAbufsmtkwy6Q6VE8B1ly8FuBRr0FhGKQqs4o47Iy7/xUrmr49MJQ3r2Y0NqVoajuaRjA==" saltValue="QvEXEaTqrUcOD2nfJHVR1g==" spinCount="100000" sheet="1" objects="1" scenarios="1"/>
  <mergeCells count="7">
    <mergeCell ref="D4:Z11"/>
    <mergeCell ref="D12:Z12"/>
    <mergeCell ref="D29:R29"/>
    <mergeCell ref="D22:R22"/>
    <mergeCell ref="D15:N20"/>
    <mergeCell ref="D14:N14"/>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CF3B4BB-2D0F-4223-867C-CF9068B09727}">
          <x14:formula1>
            <xm:f>Dropdown!$Q$3:$Q$16</xm:f>
          </x14:formula1>
          <xm:sqref>F24:F25</xm:sqref>
        </x14:dataValidation>
        <x14:dataValidation type="list" allowBlank="1" showInputMessage="1" showErrorMessage="1" xr:uid="{3BE11AB7-CA45-4647-9A6C-D80760B791B8}">
          <x14:formula1>
            <xm:f>Dropdown!$Q$3:$Q$14</xm:f>
          </x14:formula1>
          <xm:sqref>F31:F60</xm:sqref>
        </x14:dataValidation>
        <x14:dataValidation type="list" allowBlank="1" showInputMessage="1" showErrorMessage="1" xr:uid="{23206318-6488-4A09-808D-9F071BE21523}">
          <x14:formula1>
            <xm:f>Dropdown!$F$3:$F$11</xm:f>
          </x14:formula1>
          <xm:sqref>J24:J25 J31:J60</xm:sqref>
        </x14:dataValidation>
        <x14:dataValidation type="list" allowBlank="1" showInputMessage="1" showErrorMessage="1" xr:uid="{0E6BBAEA-4678-4652-8815-28EFDC2504D2}">
          <x14:formula1>
            <xm:f>'Organisation Details'!$G$33:$G$58</xm:f>
          </x14:formula1>
          <xm:sqref>D31:D60 D66:D95</xm:sqref>
        </x14:dataValidation>
        <x14:dataValidation type="list" allowBlank="1" showInputMessage="1" showErrorMessage="1" xr:uid="{A777D534-5EA8-4CB1-8A6B-54107D97218F}">
          <x14:formula1>
            <xm:f>Dropdown!$C$3:$C$7</xm:f>
          </x14:formula1>
          <xm:sqref>D24:D25</xm:sqref>
        </x14:dataValidation>
        <x14:dataValidation type="list" allowBlank="1" showInputMessage="1" showErrorMessage="1" xr:uid="{2874F911-520E-4DDF-BB8C-FD3BAF911F41}">
          <x14:formula1>
            <xm:f>INDIRECT(_xlfn.XLOOKUP(F24,Dropdown!$N$3:$N$38,Dropdown!$O$3:$O$38))</xm:f>
          </x14:formula1>
          <xm:sqref>G24:G25 G31:G60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C734-D430-4403-BE5A-13AE310A969D}">
  <sheetPr codeName="Sheet7">
    <tabColor theme="9" tint="0.39997558519241921"/>
  </sheetPr>
  <dimension ref="A1:AD69"/>
  <sheetViews>
    <sheetView showGridLines="0" showRowColHeaders="0" topLeftCell="B2" zoomScale="75" zoomScaleNormal="75" workbookViewId="0">
      <selection activeCell="P19" sqref="P19"/>
    </sheetView>
  </sheetViews>
  <sheetFormatPr defaultColWidth="0" defaultRowHeight="14.25" zeroHeight="1"/>
  <cols>
    <col min="1" max="1" width="18" style="71" hidden="1" customWidth="1"/>
    <col min="2" max="2" width="4.28515625" style="71" customWidth="1"/>
    <col min="3" max="3" width="4.7109375" style="71" customWidth="1"/>
    <col min="4" max="4" width="36.28515625" style="71" customWidth="1"/>
    <col min="5" max="5" width="44.28515625" style="71" customWidth="1"/>
    <col min="6" max="6" width="33.140625" style="71" customWidth="1"/>
    <col min="7" max="7" width="10.85546875" style="71" hidden="1" customWidth="1"/>
    <col min="8" max="8" width="16" style="71" customWidth="1"/>
    <col min="9" max="9" width="18.85546875" style="71" customWidth="1"/>
    <col min="10" max="10" width="0.140625" style="71" customWidth="1"/>
    <col min="11" max="11" width="21.28515625" style="71" customWidth="1"/>
    <col min="12" max="12" width="17" style="71" customWidth="1"/>
    <col min="13" max="13" width="10.85546875" style="71" customWidth="1"/>
    <col min="14" max="14" width="20.7109375" style="71" customWidth="1"/>
    <col min="15" max="15" width="22" style="71" customWidth="1"/>
    <col min="16" max="16" width="45.85546875" style="71" customWidth="1"/>
    <col min="17" max="17" width="130.7109375" style="71" customWidth="1"/>
    <col min="18" max="28" width="14" style="71" customWidth="1"/>
    <col min="29" max="30" width="11.140625" style="71" customWidth="1"/>
    <col min="31" max="16384" width="11.140625" style="71" hidden="1"/>
  </cols>
  <sheetData>
    <row r="1" spans="1:30" ht="14.1" hidden="1" customHeight="1">
      <c r="D1" s="166"/>
      <c r="E1" s="166"/>
      <c r="F1" s="166"/>
      <c r="G1" s="166"/>
      <c r="H1" s="166"/>
      <c r="I1" s="166"/>
      <c r="J1" s="166"/>
      <c r="K1" s="166"/>
      <c r="L1" s="166"/>
      <c r="M1" s="166"/>
      <c r="N1" s="166"/>
      <c r="O1" s="166"/>
      <c r="P1" s="166"/>
      <c r="Q1" s="166"/>
      <c r="R1" s="166"/>
      <c r="S1" s="166"/>
      <c r="T1" s="166"/>
      <c r="U1" s="166"/>
      <c r="V1" s="166"/>
      <c r="W1" s="166"/>
      <c r="X1" s="166"/>
      <c r="Y1" s="166"/>
    </row>
    <row r="2" spans="1:30" ht="13.5" customHeight="1">
      <c r="A2" s="71" t="str">
        <f>Introduction!$E$14</f>
        <v>Føroyskt</v>
      </c>
      <c r="B2" s="167"/>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row>
    <row r="3" spans="1:30">
      <c r="A3" s="168" t="s">
        <v>0</v>
      </c>
      <c r="B3" s="166"/>
      <c r="C3" s="169"/>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1"/>
    </row>
    <row r="4" spans="1:30" ht="5.0999999999999996" customHeight="1">
      <c r="A4" s="71" t="s">
        <v>101</v>
      </c>
      <c r="B4" s="172"/>
      <c r="C4" s="173"/>
      <c r="D4" s="418" t="str">
        <f>IF($A$2="English",_xlfn.XLOOKUP($A$3,Descriptions!$A:$A,Descriptions!$B:$B),_xlfn.XLOOKUP($A$3,Descriptions!$A:$A,Descriptions!$C:$C))</f>
        <v>Føroyskur CO2-roknari. Ár: 2023</v>
      </c>
      <c r="E4" s="418"/>
      <c r="F4" s="418"/>
      <c r="G4" s="418"/>
      <c r="H4" s="418"/>
      <c r="I4" s="418"/>
      <c r="J4" s="418"/>
      <c r="K4" s="418"/>
      <c r="L4" s="418"/>
      <c r="M4" s="418"/>
      <c r="N4" s="418"/>
      <c r="O4" s="418"/>
      <c r="P4" s="418"/>
      <c r="Q4" s="418"/>
      <c r="R4" s="418"/>
      <c r="S4" s="418"/>
      <c r="T4" s="418"/>
      <c r="U4" s="67"/>
      <c r="V4" s="67"/>
      <c r="W4" s="67"/>
      <c r="X4" s="67"/>
      <c r="Y4" s="67"/>
      <c r="Z4" s="67"/>
      <c r="AA4" s="67"/>
      <c r="AB4" s="67"/>
      <c r="AC4" s="67"/>
      <c r="AD4" s="151"/>
    </row>
    <row r="5" spans="1:30" ht="5.0999999999999996" customHeight="1">
      <c r="A5" s="71" t="s">
        <v>131</v>
      </c>
      <c r="B5" s="166"/>
      <c r="C5" s="173"/>
      <c r="D5" s="418"/>
      <c r="E5" s="418"/>
      <c r="F5" s="418"/>
      <c r="G5" s="418"/>
      <c r="H5" s="418"/>
      <c r="I5" s="418"/>
      <c r="J5" s="418"/>
      <c r="K5" s="418"/>
      <c r="L5" s="418"/>
      <c r="M5" s="418"/>
      <c r="N5" s="418"/>
      <c r="O5" s="418"/>
      <c r="P5" s="418"/>
      <c r="Q5" s="418"/>
      <c r="R5" s="418"/>
      <c r="S5" s="418"/>
      <c r="T5" s="418"/>
      <c r="U5" s="67"/>
      <c r="V5" s="67"/>
      <c r="W5" s="67"/>
      <c r="X5" s="67"/>
      <c r="Y5" s="67"/>
      <c r="Z5" s="67"/>
      <c r="AA5" s="67"/>
      <c r="AB5" s="67"/>
      <c r="AC5" s="67"/>
      <c r="AD5" s="151"/>
    </row>
    <row r="6" spans="1:30" ht="5.0999999999999996" customHeight="1">
      <c r="A6" s="71" t="s">
        <v>221</v>
      </c>
      <c r="B6" s="166"/>
      <c r="C6" s="173"/>
      <c r="D6" s="418"/>
      <c r="E6" s="418"/>
      <c r="F6" s="418"/>
      <c r="G6" s="418"/>
      <c r="H6" s="418"/>
      <c r="I6" s="418"/>
      <c r="J6" s="418"/>
      <c r="K6" s="418"/>
      <c r="L6" s="418"/>
      <c r="M6" s="418"/>
      <c r="N6" s="418"/>
      <c r="O6" s="418"/>
      <c r="P6" s="418"/>
      <c r="Q6" s="418"/>
      <c r="R6" s="418"/>
      <c r="S6" s="418"/>
      <c r="T6" s="418"/>
      <c r="U6" s="67"/>
      <c r="V6" s="67"/>
      <c r="W6" s="67"/>
      <c r="X6" s="67"/>
      <c r="Y6" s="67"/>
      <c r="Z6" s="67"/>
      <c r="AA6" s="67"/>
      <c r="AB6" s="67"/>
      <c r="AC6" s="67"/>
      <c r="AD6" s="151"/>
    </row>
    <row r="7" spans="1:30" ht="5.0999999999999996" customHeight="1">
      <c r="A7" s="71" t="s">
        <v>167</v>
      </c>
      <c r="B7" s="166"/>
      <c r="C7" s="173"/>
      <c r="D7" s="418"/>
      <c r="E7" s="418"/>
      <c r="F7" s="418"/>
      <c r="G7" s="418"/>
      <c r="H7" s="418"/>
      <c r="I7" s="418"/>
      <c r="J7" s="418"/>
      <c r="K7" s="418"/>
      <c r="L7" s="418"/>
      <c r="M7" s="418"/>
      <c r="N7" s="418"/>
      <c r="O7" s="418"/>
      <c r="P7" s="418"/>
      <c r="Q7" s="418"/>
      <c r="R7" s="418"/>
      <c r="S7" s="418"/>
      <c r="T7" s="418"/>
      <c r="U7" s="67"/>
      <c r="V7" s="67"/>
      <c r="W7" s="67"/>
      <c r="X7" s="67"/>
      <c r="Y7" s="67"/>
      <c r="Z7" s="67"/>
      <c r="AA7" s="67"/>
      <c r="AB7" s="67"/>
      <c r="AC7" s="67"/>
      <c r="AD7" s="151"/>
    </row>
    <row r="8" spans="1:30" ht="5.0999999999999996" customHeight="1">
      <c r="A8" s="71" t="s">
        <v>222</v>
      </c>
      <c r="B8" s="166"/>
      <c r="C8" s="173"/>
      <c r="D8" s="418"/>
      <c r="E8" s="418"/>
      <c r="F8" s="418"/>
      <c r="G8" s="418"/>
      <c r="H8" s="418"/>
      <c r="I8" s="418"/>
      <c r="J8" s="418"/>
      <c r="K8" s="418"/>
      <c r="L8" s="418"/>
      <c r="M8" s="418"/>
      <c r="N8" s="418"/>
      <c r="O8" s="418"/>
      <c r="P8" s="418"/>
      <c r="Q8" s="418"/>
      <c r="R8" s="418"/>
      <c r="S8" s="418"/>
      <c r="T8" s="418"/>
      <c r="U8" s="67"/>
      <c r="V8" s="67"/>
      <c r="W8" s="67"/>
      <c r="X8" s="67"/>
      <c r="Y8" s="67"/>
      <c r="Z8" s="67"/>
      <c r="AA8" s="67"/>
      <c r="AB8" s="67"/>
      <c r="AC8" s="67"/>
      <c r="AD8" s="151"/>
    </row>
    <row r="9" spans="1:30" ht="5.0999999999999996" customHeight="1">
      <c r="A9" s="71" t="s">
        <v>223</v>
      </c>
      <c r="B9" s="166"/>
      <c r="C9" s="173"/>
      <c r="D9" s="418"/>
      <c r="E9" s="418"/>
      <c r="F9" s="418"/>
      <c r="G9" s="418"/>
      <c r="H9" s="418"/>
      <c r="I9" s="418"/>
      <c r="J9" s="418"/>
      <c r="K9" s="418"/>
      <c r="L9" s="418"/>
      <c r="M9" s="418"/>
      <c r="N9" s="418"/>
      <c r="O9" s="418"/>
      <c r="P9" s="418"/>
      <c r="Q9" s="418"/>
      <c r="R9" s="418"/>
      <c r="S9" s="418"/>
      <c r="T9" s="418"/>
      <c r="U9" s="67"/>
      <c r="V9" s="67"/>
      <c r="W9" s="67"/>
      <c r="X9" s="67"/>
      <c r="Y9" s="67"/>
      <c r="Z9" s="67"/>
      <c r="AA9" s="67"/>
      <c r="AB9" s="67"/>
      <c r="AC9" s="67"/>
      <c r="AD9" s="151"/>
    </row>
    <row r="10" spans="1:30" ht="5.0999999999999996" customHeight="1">
      <c r="A10" s="71" t="s">
        <v>168</v>
      </c>
      <c r="B10" s="166"/>
      <c r="C10" s="173"/>
      <c r="D10" s="418"/>
      <c r="E10" s="418"/>
      <c r="F10" s="418"/>
      <c r="G10" s="418"/>
      <c r="H10" s="418"/>
      <c r="I10" s="418"/>
      <c r="J10" s="418"/>
      <c r="K10" s="418"/>
      <c r="L10" s="418"/>
      <c r="M10" s="418"/>
      <c r="N10" s="418"/>
      <c r="O10" s="418"/>
      <c r="P10" s="418"/>
      <c r="Q10" s="418"/>
      <c r="R10" s="418"/>
      <c r="S10" s="418"/>
      <c r="T10" s="418"/>
      <c r="U10" s="67"/>
      <c r="V10" s="67"/>
      <c r="W10" s="67"/>
      <c r="X10" s="67"/>
      <c r="Y10" s="67"/>
      <c r="Z10" s="67"/>
      <c r="AA10" s="67"/>
      <c r="AB10" s="67"/>
      <c r="AC10" s="67"/>
      <c r="AD10" s="151"/>
    </row>
    <row r="11" spans="1:30" ht="5.0999999999999996" customHeight="1">
      <c r="A11" s="71" t="s">
        <v>169</v>
      </c>
      <c r="B11" s="166"/>
      <c r="C11" s="173"/>
      <c r="D11" s="418"/>
      <c r="E11" s="418"/>
      <c r="F11" s="418"/>
      <c r="G11" s="418"/>
      <c r="H11" s="418"/>
      <c r="I11" s="418"/>
      <c r="J11" s="418"/>
      <c r="K11" s="418"/>
      <c r="L11" s="418"/>
      <c r="M11" s="418"/>
      <c r="N11" s="418"/>
      <c r="O11" s="418"/>
      <c r="P11" s="418"/>
      <c r="Q11" s="418"/>
      <c r="R11" s="418"/>
      <c r="S11" s="418"/>
      <c r="T11" s="418"/>
      <c r="U11" s="67"/>
      <c r="V11" s="67"/>
      <c r="W11" s="67"/>
      <c r="X11" s="67"/>
      <c r="Y11" s="67"/>
      <c r="Z11" s="67"/>
      <c r="AA11" s="67"/>
      <c r="AB11" s="67"/>
      <c r="AC11" s="67"/>
      <c r="AD11" s="151"/>
    </row>
    <row r="12" spans="1:30" ht="99.95" customHeight="1">
      <c r="A12" s="71" t="s">
        <v>170</v>
      </c>
      <c r="B12" s="166"/>
      <c r="C12" s="173"/>
      <c r="D12" s="419" t="str">
        <f>IF($A$2="English",_xlfn.XLOOKUP($A$4,Descriptions!$A:$A,Descriptions!$B:$B),_xlfn.XLOOKUP($A$4,Descriptions!$A:$A,Descriptions!$C:$C))</f>
        <v>V1 - Kølievni</v>
      </c>
      <c r="E12" s="419"/>
      <c r="F12" s="419"/>
      <c r="G12" s="419"/>
      <c r="H12" s="419"/>
      <c r="I12" s="419"/>
      <c r="J12" s="419"/>
      <c r="K12" s="419"/>
      <c r="L12" s="419"/>
      <c r="M12" s="419"/>
      <c r="N12" s="419"/>
      <c r="O12" s="419"/>
      <c r="P12" s="419"/>
      <c r="Q12" s="419"/>
      <c r="R12" s="419"/>
      <c r="S12" s="419"/>
      <c r="T12" s="419"/>
      <c r="U12" s="67"/>
      <c r="V12" s="67"/>
      <c r="W12" s="67"/>
      <c r="X12" s="67"/>
      <c r="Y12" s="67"/>
      <c r="Z12" s="67"/>
      <c r="AA12" s="67"/>
      <c r="AB12" s="67"/>
      <c r="AC12" s="67"/>
      <c r="AD12" s="151"/>
    </row>
    <row r="13" spans="1:30">
      <c r="A13" s="71" t="s">
        <v>171</v>
      </c>
      <c r="B13" s="166"/>
      <c r="C13" s="173"/>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1"/>
    </row>
    <row r="14" spans="1:30" ht="30" customHeight="1">
      <c r="A14" s="71" t="s">
        <v>172</v>
      </c>
      <c r="B14" s="166"/>
      <c r="C14" s="173"/>
      <c r="D14" s="437" t="str">
        <f>IF($A$2="English",_xlfn.XLOOKUP($A$5,Descriptions!$A:$A,Descriptions!$B:$B),_xlfn.XLOOKUP($A$5,Descriptions!$A:$A,Descriptions!$C:$C))</f>
        <v>Vegleiðing</v>
      </c>
      <c r="E14" s="437"/>
      <c r="F14" s="437"/>
      <c r="G14" s="437"/>
      <c r="H14" s="437"/>
      <c r="I14" s="437"/>
      <c r="J14" s="437"/>
      <c r="K14" s="437"/>
      <c r="L14" s="437"/>
      <c r="M14" s="437"/>
      <c r="N14" s="437"/>
      <c r="O14" s="348"/>
      <c r="P14" s="347" t="str">
        <f>'V1 - Fuels (Mobile)'!P14</f>
        <v>Key</v>
      </c>
      <c r="Q14" s="67"/>
      <c r="R14" s="67"/>
      <c r="S14" s="67"/>
      <c r="T14" s="67"/>
      <c r="U14" s="67"/>
      <c r="V14" s="67"/>
      <c r="W14" s="67"/>
      <c r="X14" s="67"/>
      <c r="Y14" s="67"/>
      <c r="Z14" s="67"/>
      <c r="AA14" s="67"/>
      <c r="AB14" s="67"/>
      <c r="AC14" s="67"/>
      <c r="AD14" s="151"/>
    </row>
    <row r="15" spans="1:30" ht="14.1" customHeight="1">
      <c r="A15" s="71" t="s">
        <v>173</v>
      </c>
      <c r="B15" s="166"/>
      <c r="C15" s="173"/>
      <c r="D15" s="451" t="str">
        <f>IF($A$2="English",_xlfn.XLOOKUP($A$6,Descriptions!$A:$A,Descriptions!$B:$B),_xlfn.XLOOKUP($A$6,Descriptions!$A:$A,Descriptions!$C:$C))</f>
        <v>V1 - Kølievni, um viðkomandi, fevna um lekar í HVS skipanum, køliskipanum og kuldaskápum, haðani kølievni lekur. Nøkur kølievni eru vakstrarhúsgass. Nøgdin av gassi, sum lekur úr skipanunum, verður mett at svara til nøgdina, ið veitarin má fylla á skipanina aftur. Sostatt skulu dátur savnast um nøgd av kølievni, sum verður fylt á skipanirnar.
Kravdar dátur:
• Fasilitetur/ogn og staðseting (har kølievni verður fylt á)
• Virksemi (har kølievni verður fylt á)
• Slag av kølievni
• Nøgd av kølievni, sum verður fylt á
• Eind fyri kølievni, sum verður fylt á
GG:
• Tons = 1000 kg</v>
      </c>
      <c r="E15" s="451"/>
      <c r="F15" s="451"/>
      <c r="G15" s="451"/>
      <c r="H15" s="451"/>
      <c r="I15" s="451"/>
      <c r="J15" s="451"/>
      <c r="K15" s="451"/>
      <c r="L15" s="451"/>
      <c r="M15" s="451"/>
      <c r="N15" s="451"/>
      <c r="O15" s="67"/>
      <c r="P15" s="81" t="str">
        <f>'V1 - Fuels (Mobile)'!P15</f>
        <v>Dátuíkast - Fallmynd</v>
      </c>
      <c r="Q15" s="94"/>
      <c r="R15" s="67"/>
      <c r="S15" s="67"/>
      <c r="T15" s="67"/>
      <c r="U15" s="67"/>
      <c r="V15" s="67"/>
      <c r="W15" s="67"/>
      <c r="X15" s="67"/>
      <c r="Y15" s="67"/>
      <c r="Z15" s="67"/>
      <c r="AA15" s="67"/>
      <c r="AB15" s="67"/>
      <c r="AC15" s="67"/>
      <c r="AD15" s="151"/>
    </row>
    <row r="16" spans="1:30" ht="14.1" customHeight="1">
      <c r="A16" s="71" t="s">
        <v>175</v>
      </c>
      <c r="B16" s="166"/>
      <c r="C16" s="173"/>
      <c r="D16" s="451"/>
      <c r="E16" s="451"/>
      <c r="F16" s="451"/>
      <c r="G16" s="451"/>
      <c r="H16" s="451"/>
      <c r="I16" s="451"/>
      <c r="J16" s="451"/>
      <c r="K16" s="451"/>
      <c r="L16" s="451"/>
      <c r="M16" s="451"/>
      <c r="N16" s="451"/>
      <c r="O16" s="86"/>
      <c r="P16" s="82" t="str">
        <f>'V1 - Fuels (Mobile)'!P16</f>
        <v>Dátuíkast - Tøppa inn</v>
      </c>
      <c r="Q16" s="94"/>
      <c r="R16" s="67"/>
      <c r="S16" s="67"/>
      <c r="T16" s="67"/>
      <c r="U16" s="67"/>
      <c r="V16" s="67"/>
      <c r="W16" s="67"/>
      <c r="X16" s="67"/>
      <c r="Y16" s="67"/>
      <c r="Z16" s="67"/>
      <c r="AA16" s="67"/>
      <c r="AB16" s="67"/>
      <c r="AC16" s="67"/>
      <c r="AD16" s="151"/>
    </row>
    <row r="17" spans="1:30" ht="14.1" customHeight="1">
      <c r="A17" s="71" t="s">
        <v>176</v>
      </c>
      <c r="B17" s="166"/>
      <c r="C17" s="173"/>
      <c r="D17" s="451"/>
      <c r="E17" s="451"/>
      <c r="F17" s="451"/>
      <c r="G17" s="451"/>
      <c r="H17" s="451"/>
      <c r="I17" s="451"/>
      <c r="J17" s="451"/>
      <c r="K17" s="451"/>
      <c r="L17" s="451"/>
      <c r="M17" s="451"/>
      <c r="N17" s="451"/>
      <c r="O17" s="67"/>
      <c r="P17" s="302" t="str">
        <f>'V1 - Fuels (Mobile)'!P17</f>
        <v>Leiting (fastløst)</v>
      </c>
      <c r="Q17" s="94"/>
      <c r="R17" s="67"/>
      <c r="S17" s="67"/>
      <c r="T17" s="67"/>
      <c r="U17" s="67"/>
      <c r="V17" s="67"/>
      <c r="W17" s="67"/>
      <c r="X17" s="67"/>
      <c r="Y17" s="67"/>
      <c r="Z17" s="67"/>
      <c r="AA17" s="67"/>
      <c r="AB17" s="67"/>
      <c r="AC17" s="67"/>
      <c r="AD17" s="151"/>
    </row>
    <row r="18" spans="1:30" ht="14.1" customHeight="1">
      <c r="A18" s="71" t="s">
        <v>177</v>
      </c>
      <c r="B18" s="166"/>
      <c r="C18" s="173"/>
      <c r="D18" s="451"/>
      <c r="E18" s="451"/>
      <c r="F18" s="451"/>
      <c r="G18" s="451"/>
      <c r="H18" s="451"/>
      <c r="I18" s="451"/>
      <c r="J18" s="451"/>
      <c r="K18" s="451"/>
      <c r="L18" s="451"/>
      <c r="M18" s="451"/>
      <c r="N18" s="451"/>
      <c r="O18" s="67"/>
      <c r="P18" s="83" t="str">
        <f>'V1 - Fuels (Mobile)'!P18</f>
        <v>Útrokning</v>
      </c>
      <c r="Q18" s="94"/>
      <c r="R18" s="67"/>
      <c r="S18" s="67"/>
      <c r="T18" s="67"/>
      <c r="U18" s="67"/>
      <c r="V18" s="67"/>
      <c r="W18" s="67"/>
      <c r="X18" s="67"/>
      <c r="Y18" s="67"/>
      <c r="Z18" s="67"/>
      <c r="AA18" s="67"/>
      <c r="AB18" s="67"/>
      <c r="AC18" s="67"/>
      <c r="AD18" s="151"/>
    </row>
    <row r="19" spans="1:30" ht="80.099999999999994" customHeight="1">
      <c r="A19" s="71" t="s">
        <v>178</v>
      </c>
      <c r="B19" s="166"/>
      <c r="C19" s="173"/>
      <c r="D19" s="451"/>
      <c r="E19" s="451"/>
      <c r="F19" s="451"/>
      <c r="G19" s="451"/>
      <c r="H19" s="451"/>
      <c r="I19" s="451"/>
      <c r="J19" s="451"/>
      <c r="K19" s="451"/>
      <c r="L19" s="451"/>
      <c r="M19" s="451"/>
      <c r="N19" s="451"/>
      <c r="O19" s="122"/>
      <c r="P19" s="67"/>
      <c r="Q19" s="67"/>
      <c r="R19" s="67"/>
      <c r="S19" s="67"/>
      <c r="T19" s="67"/>
      <c r="U19" s="67"/>
      <c r="V19" s="67"/>
      <c r="W19" s="67"/>
      <c r="X19" s="67"/>
      <c r="Y19" s="67"/>
      <c r="Z19" s="67"/>
      <c r="AA19" s="67"/>
      <c r="AB19" s="67"/>
      <c r="AC19" s="67"/>
      <c r="AD19" s="151"/>
    </row>
    <row r="20" spans="1:30" ht="80.099999999999994" customHeight="1">
      <c r="A20" s="71" t="s">
        <v>179</v>
      </c>
      <c r="B20" s="166"/>
      <c r="C20" s="173"/>
      <c r="D20" s="451"/>
      <c r="E20" s="451"/>
      <c r="F20" s="451"/>
      <c r="G20" s="451"/>
      <c r="H20" s="451"/>
      <c r="I20" s="451"/>
      <c r="J20" s="451"/>
      <c r="K20" s="451"/>
      <c r="L20" s="451"/>
      <c r="M20" s="451"/>
      <c r="N20" s="451"/>
      <c r="O20" s="67"/>
      <c r="P20" s="94"/>
      <c r="Q20" s="67"/>
      <c r="R20" s="67"/>
      <c r="S20" s="67"/>
      <c r="T20" s="67"/>
      <c r="U20" s="67"/>
      <c r="V20" s="67"/>
      <c r="W20" s="67"/>
      <c r="X20" s="67"/>
      <c r="Y20" s="67"/>
      <c r="Z20" s="67"/>
      <c r="AA20" s="67"/>
      <c r="AB20" s="67"/>
      <c r="AC20" s="67"/>
      <c r="AD20" s="151"/>
    </row>
    <row r="21" spans="1:30" ht="15.6" customHeight="1">
      <c r="A21" s="71" t="s">
        <v>180</v>
      </c>
      <c r="B21" s="166"/>
      <c r="C21" s="173"/>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151"/>
    </row>
    <row r="22" spans="1:30" ht="30" customHeight="1">
      <c r="A22" s="71" t="s">
        <v>181</v>
      </c>
      <c r="B22" s="166"/>
      <c r="C22" s="173"/>
      <c r="D22" s="438" t="str">
        <f>IF($A$2="English",_xlfn.XLOOKUP($A$7,Descriptions!$A:$A,Descriptions!$B:$B),_xlfn.XLOOKUP($A$7,Descriptions!$A:$A,Descriptions!$C:$C))</f>
        <v>Dømi</v>
      </c>
      <c r="E22" s="438"/>
      <c r="F22" s="438"/>
      <c r="G22" s="438"/>
      <c r="H22" s="438"/>
      <c r="I22" s="438"/>
      <c r="J22" s="438"/>
      <c r="K22" s="438"/>
      <c r="L22" s="438"/>
      <c r="M22" s="438"/>
      <c r="N22" s="438"/>
      <c r="O22" s="438"/>
      <c r="P22" s="438"/>
      <c r="Q22" s="438"/>
      <c r="R22" s="67"/>
      <c r="S22" s="67"/>
      <c r="T22" s="67"/>
      <c r="U22" s="67"/>
      <c r="V22" s="67"/>
      <c r="W22" s="67"/>
      <c r="X22" s="67"/>
      <c r="Y22" s="67"/>
      <c r="Z22" s="67"/>
      <c r="AA22" s="67"/>
      <c r="AB22" s="67"/>
      <c r="AC22" s="67"/>
      <c r="AD22" s="151"/>
    </row>
    <row r="23" spans="1:30" ht="30" customHeight="1">
      <c r="A23" s="71" t="s">
        <v>182</v>
      </c>
      <c r="B23" s="166"/>
      <c r="C23" s="173"/>
      <c r="D23" s="307" t="str">
        <f>IF($A$2="English",_xlfn.XLOOKUP($A$10,Descriptions!$A:$A,Descriptions!$B:$B),_xlfn.XLOOKUP($A$10,Descriptions!$A:$A,Descriptions!$C:$C))</f>
        <v>Fasilitetur/Ogn og staðseting</v>
      </c>
      <c r="E23" s="307" t="str">
        <f>IF($A$2="English",_xlfn.XLOOKUP($A$11,Descriptions!$A:$A,Descriptions!$B:$B),_xlfn.XLOOKUP($A$11,Descriptions!$A:$A,Descriptions!$C:$C))</f>
        <v>Virksemi</v>
      </c>
      <c r="F23" s="307" t="str">
        <f>IF($A$2="English",_xlfn.XLOOKUP($A$8,Descriptions!$A:$A,Descriptions!$B:$B),_xlfn.XLOOKUP($A$8,Descriptions!$A:$A,Descriptions!$C:$C))</f>
        <v>Slag av kølievni</v>
      </c>
      <c r="G23" s="307" t="s">
        <v>185</v>
      </c>
      <c r="H23" s="307" t="str">
        <f>IF($A$2="English",_xlfn.XLOOKUP($A$15,Descriptions!$A:$A,Descriptions!$B:$B),_xlfn.XLOOKUP($A$15,Descriptions!$A:$A,Descriptions!$C:$C))</f>
        <v>Nøgd</v>
      </c>
      <c r="I23" s="307" t="str">
        <f>IF($A$2="English",_xlfn.XLOOKUP($A$16,Descriptions!$A:$A,Descriptions!$B:$B),_xlfn.XLOOKUP($A$16,Descriptions!$A:$A,Descriptions!$C:$C))</f>
        <v>Eindir</v>
      </c>
      <c r="J23" s="307" t="s">
        <v>186</v>
      </c>
      <c r="K23" s="307" t="s">
        <v>187</v>
      </c>
      <c r="L23" s="307" t="s">
        <v>188</v>
      </c>
      <c r="M23" s="307" t="str">
        <f>IF($A$2="English",_xlfn.XLOOKUP($A$9,Descriptions!$A:$A,Descriptions!$B:$B),_xlfn.XLOOKUP($A$9,Descriptions!$A:$A,Descriptions!$C:$C))</f>
        <v>Upphitingarvirði</v>
      </c>
      <c r="N23" s="307" t="str">
        <f>IF($A$2="English",_xlfn.XLOOKUP($A$21,Descriptions!$A:$A,Descriptions!$B:$B),_xlfn.XLOOKUP($A$21,Descriptions!$A:$A,Descriptions!$C:$C))</f>
        <v>Útlátsfaktorur Eind</v>
      </c>
      <c r="O23" s="307" t="str">
        <f>IF($A$2="English",_xlfn.XLOOKUP($A$22,Descriptions!$A:$A,Descriptions!$B:$B),_xlfn.XLOOKUP($A$22,Descriptions!$A:$A,Descriptions!$C:$C))</f>
        <v>Útlát av vakstrarhúsgassi (tons av CO2e)</v>
      </c>
      <c r="P23" s="307" t="str">
        <f>IF($A$2="English",_xlfn.XLOOKUP($A$23,Descriptions!$A:$A,Descriptions!$B:$B),_xlfn.XLOOKUP($A$23,Descriptions!$A:$A,Descriptions!$C:$C))</f>
        <v>Kelda Útlátsfaktorur</v>
      </c>
      <c r="Q23" s="307" t="str">
        <f>IF($A$2="English",_xlfn.XLOOKUP($A$24,Descriptions!$A:$A,Descriptions!$B:$B),_xlfn.XLOOKUP($A$24,Descriptions!$A:$A,Descriptions!$C:$C))</f>
        <v>Viðmerking frá brúkara</v>
      </c>
      <c r="R23" s="67"/>
      <c r="S23" s="67"/>
      <c r="T23" s="67"/>
      <c r="U23" s="67"/>
      <c r="V23" s="67"/>
      <c r="W23" s="67"/>
      <c r="X23" s="67"/>
      <c r="Y23" s="67"/>
      <c r="Z23" s="67"/>
      <c r="AA23" s="67"/>
      <c r="AB23" s="67"/>
      <c r="AC23" s="67"/>
      <c r="AD23" s="151"/>
    </row>
    <row r="24" spans="1:30">
      <c r="A24" s="71" t="s">
        <v>183</v>
      </c>
      <c r="B24" s="166"/>
      <c r="C24" s="173"/>
      <c r="D24" s="95" t="s">
        <v>194</v>
      </c>
      <c r="E24" s="96" t="s">
        <v>224</v>
      </c>
      <c r="F24" s="95" t="s">
        <v>225</v>
      </c>
      <c r="G24" s="97" t="str">
        <f t="shared" ref="G24:G25" si="0">F24</f>
        <v>HFC-134a (R-134a)</v>
      </c>
      <c r="H24" s="98">
        <v>1.03</v>
      </c>
      <c r="I24" s="95" t="s">
        <v>226</v>
      </c>
      <c r="J24" s="97" t="str">
        <f>IF(I24="","",I24)</f>
        <v>kg</v>
      </c>
      <c r="K24" s="303" t="str">
        <f>IF(I24="","",_xlfn.XLOOKUP(G24,'Emission Factors'!$M$138:$M$170,'Emission Factors'!$U$138:$U$170))</f>
        <v>kg</v>
      </c>
      <c r="L24" s="327">
        <f>IF(K24="","",INDEX(Conversions!$C$14:$D$15,MATCH('V1 - Refrigerants'!J24,Conversions!$B$14:$B$15,0),MATCH('V1 - Refrigerants'!K24,Conversions!$C$13:$D$13,0)))</f>
        <v>1</v>
      </c>
      <c r="M24" s="330">
        <f>IF(I24="","",_xlfn.XLOOKUP(G24,'Emission Factors'!$M$138:$M$170,'Emission Factors'!$O$138:$O$170)*L24)</f>
        <v>1300</v>
      </c>
      <c r="N24" s="305" t="str">
        <f>IF(I24="","","kgCO2e/"&amp;J24)</f>
        <v>kgCO2e/kg</v>
      </c>
      <c r="O24" s="129">
        <f t="shared" ref="O24:O25" si="1">IF(ISBLANK(H24)=TRUE,"",IF(ISBLANK(M24)=TRUE,"",H24*M24)/1000)</f>
        <v>1.339</v>
      </c>
      <c r="P24" s="303" t="str">
        <f>IF(I24="","",_xlfn.XLOOKUP(G24,'Emission Factors'!$M:$M,'Emission Factors'!$P:$P))</f>
        <v>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v>
      </c>
      <c r="Q24" s="141"/>
      <c r="R24" s="67"/>
      <c r="S24" s="67"/>
      <c r="T24" s="67"/>
      <c r="U24" s="67"/>
      <c r="V24" s="67"/>
      <c r="W24" s="67"/>
      <c r="X24" s="67"/>
      <c r="Y24" s="67"/>
      <c r="Z24" s="67"/>
      <c r="AA24" s="67"/>
      <c r="AB24" s="67"/>
      <c r="AC24" s="67"/>
      <c r="AD24" s="151"/>
    </row>
    <row r="25" spans="1:30">
      <c r="A25" s="71" t="s">
        <v>199</v>
      </c>
      <c r="B25" s="166"/>
      <c r="C25" s="173"/>
      <c r="D25" s="95" t="s">
        <v>200</v>
      </c>
      <c r="E25" s="96" t="s">
        <v>224</v>
      </c>
      <c r="F25" s="95" t="s">
        <v>227</v>
      </c>
      <c r="G25" s="97" t="str">
        <f t="shared" si="0"/>
        <v>HFC-143 (R-143)</v>
      </c>
      <c r="H25" s="98">
        <v>500</v>
      </c>
      <c r="I25" s="95" t="s">
        <v>226</v>
      </c>
      <c r="J25" s="97" t="str">
        <f t="shared" ref="J25" si="2">IF(I25="","",I25)</f>
        <v>kg</v>
      </c>
      <c r="K25" s="303" t="str">
        <f>IF(I25="","",_xlfn.XLOOKUP(G25,'Emission Factors'!$M$138:$M$170,'Emission Factors'!$U$138:$U$170))</f>
        <v>kg</v>
      </c>
      <c r="L25" s="327">
        <f>IF(K25="","",INDEX(Conversions!$C$14:$D$15,MATCH('V1 - Refrigerants'!J25,Conversions!$B$14:$B$15,0),MATCH('V1 - Refrigerants'!K25,Conversions!$C$13:$D$13,0)))</f>
        <v>1</v>
      </c>
      <c r="M25" s="330">
        <f>IF(I25="","",_xlfn.XLOOKUP(G25,'Emission Factors'!$M$138:$M$170,'Emission Factors'!$O$138:$O$170)*L25)</f>
        <v>328</v>
      </c>
      <c r="N25" s="305" t="str">
        <f t="shared" ref="N25" si="3">IF(I25="","","kgCO2e/"&amp;J25)</f>
        <v>kgCO2e/kg</v>
      </c>
      <c r="O25" s="129">
        <f t="shared" si="1"/>
        <v>164</v>
      </c>
      <c r="P25" s="303" t="str">
        <f>IF(I25="","",_xlfn.XLOOKUP(G25,'Emission Factors'!$M:$M,'Emission Factors'!$P:$P))</f>
        <v>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v>
      </c>
      <c r="Q25" s="142"/>
      <c r="R25" s="67"/>
      <c r="S25" s="67"/>
      <c r="T25" s="67"/>
      <c r="U25" s="67"/>
      <c r="V25" s="67"/>
      <c r="W25" s="67"/>
      <c r="X25" s="67"/>
      <c r="Y25" s="67"/>
      <c r="Z25" s="67"/>
      <c r="AA25" s="67"/>
      <c r="AB25" s="67"/>
      <c r="AC25" s="67"/>
      <c r="AD25" s="151"/>
    </row>
    <row r="26" spans="1:30">
      <c r="A26" s="71" t="s">
        <v>115</v>
      </c>
      <c r="B26" s="166"/>
      <c r="C26" s="173"/>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1"/>
    </row>
    <row r="27" spans="1:30" ht="15.6" customHeight="1">
      <c r="B27" s="166"/>
      <c r="C27" s="173"/>
      <c r="D27" s="338" t="str">
        <f>Summary!D14</f>
        <v>Fyritøka</v>
      </c>
      <c r="E27" s="10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1"/>
    </row>
    <row r="28" spans="1:30" ht="17.25" customHeight="1">
      <c r="B28" s="166"/>
      <c r="C28" s="173"/>
      <c r="D28" s="67"/>
      <c r="E28" s="67"/>
      <c r="F28" s="67"/>
      <c r="G28" s="67"/>
      <c r="H28" s="67"/>
      <c r="I28" s="67"/>
      <c r="J28" s="67"/>
      <c r="K28" s="67"/>
      <c r="L28" s="67"/>
      <c r="M28" s="67"/>
      <c r="N28" s="67"/>
      <c r="O28" s="94"/>
      <c r="P28" s="67"/>
      <c r="Q28" s="67"/>
      <c r="R28" s="67"/>
      <c r="S28" s="67"/>
      <c r="T28" s="67"/>
      <c r="U28" s="67"/>
      <c r="V28" s="67"/>
      <c r="W28" s="67"/>
      <c r="X28" s="67"/>
      <c r="Y28" s="67"/>
      <c r="Z28" s="67"/>
      <c r="AA28" s="67"/>
      <c r="AB28" s="67"/>
      <c r="AC28" s="67"/>
      <c r="AD28" s="151"/>
    </row>
    <row r="29" spans="1:30" ht="30" customHeight="1">
      <c r="B29" s="166"/>
      <c r="C29" s="173"/>
      <c r="D29" s="437" t="str">
        <f>IF($A$2="English",_xlfn.XLOOKUP($A$26,Descriptions!$A:$A,Descriptions!$B:$B),_xlfn.XLOOKUP($A$26,Descriptions!$A:$A,Descriptions!$C:$C))</f>
        <v>Talva við útlátsútrokningum</v>
      </c>
      <c r="E29" s="437"/>
      <c r="F29" s="437"/>
      <c r="G29" s="437"/>
      <c r="H29" s="437"/>
      <c r="I29" s="437"/>
      <c r="J29" s="437"/>
      <c r="K29" s="437"/>
      <c r="L29" s="437"/>
      <c r="M29" s="437"/>
      <c r="N29" s="437"/>
      <c r="O29" s="437"/>
      <c r="P29" s="437"/>
      <c r="Q29" s="437"/>
      <c r="R29" s="67"/>
      <c r="S29" s="67"/>
      <c r="T29" s="67"/>
      <c r="U29" s="67"/>
      <c r="V29" s="67"/>
      <c r="W29" s="67"/>
      <c r="X29" s="67"/>
      <c r="Y29" s="67"/>
      <c r="Z29" s="67"/>
      <c r="AA29" s="67"/>
      <c r="AB29" s="67"/>
      <c r="AC29" s="67"/>
      <c r="AD29" s="151"/>
    </row>
    <row r="30" spans="1:30" ht="30" customHeight="1">
      <c r="B30" s="166"/>
      <c r="C30" s="173"/>
      <c r="D30" s="307" t="str">
        <f>D23</f>
        <v>Fasilitetur/Ogn og staðseting</v>
      </c>
      <c r="E30" s="307" t="str">
        <f t="shared" ref="E30:Q30" si="4">E23</f>
        <v>Virksemi</v>
      </c>
      <c r="F30" s="307" t="str">
        <f t="shared" si="4"/>
        <v>Slag av kølievni</v>
      </c>
      <c r="G30" s="307" t="str">
        <f t="shared" si="4"/>
        <v>Concat</v>
      </c>
      <c r="H30" s="307" t="str">
        <f t="shared" si="4"/>
        <v>Nøgd</v>
      </c>
      <c r="I30" s="307" t="str">
        <f t="shared" si="4"/>
        <v>Eindir</v>
      </c>
      <c r="J30" s="307" t="str">
        <f t="shared" si="4"/>
        <v>Input Unit</v>
      </c>
      <c r="K30" s="307" t="str">
        <f t="shared" si="4"/>
        <v>Source Emission Factor Unit</v>
      </c>
      <c r="L30" s="307" t="str">
        <f t="shared" si="4"/>
        <v>Conversion Factor</v>
      </c>
      <c r="M30" s="307" t="str">
        <f t="shared" si="4"/>
        <v>Upphitingarvirði</v>
      </c>
      <c r="N30" s="307" t="str">
        <f t="shared" si="4"/>
        <v>Útlátsfaktorur Eind</v>
      </c>
      <c r="O30" s="307" t="str">
        <f t="shared" si="4"/>
        <v>Útlát av vakstrarhúsgassi (tons av CO2e)</v>
      </c>
      <c r="P30" s="307" t="str">
        <f t="shared" si="4"/>
        <v>Kelda Útlátsfaktorur</v>
      </c>
      <c r="Q30" s="307" t="str">
        <f t="shared" si="4"/>
        <v>Viðmerking frá brúkara</v>
      </c>
      <c r="R30" s="67"/>
      <c r="S30" s="67"/>
      <c r="T30" s="67"/>
      <c r="U30" s="67"/>
      <c r="V30" s="67"/>
      <c r="W30" s="67"/>
      <c r="X30" s="67"/>
      <c r="Y30" s="67"/>
      <c r="Z30" s="67"/>
      <c r="AA30" s="67"/>
      <c r="AB30" s="67"/>
      <c r="AC30" s="67"/>
      <c r="AD30" s="151"/>
    </row>
    <row r="31" spans="1:30">
      <c r="B31" s="166"/>
      <c r="C31" s="173"/>
      <c r="D31" s="103"/>
      <c r="E31" s="104"/>
      <c r="F31" s="103"/>
      <c r="G31" s="105">
        <f t="shared" ref="G31:G55" si="5">F31</f>
        <v>0</v>
      </c>
      <c r="H31" s="143"/>
      <c r="I31" s="103"/>
      <c r="J31" s="97" t="str">
        <f>IF(I31="","",I31)</f>
        <v/>
      </c>
      <c r="K31" s="303" t="str">
        <f>IF(I31="","",_xlfn.XLOOKUP(G31,'Emission Factors'!$M$138:$M$170,'Emission Factors'!$U$138:$U$170))</f>
        <v/>
      </c>
      <c r="L31" s="327" t="str">
        <f>IF(K31="","",INDEX(Conversions!$C$14:$D$15,MATCH('V1 - Refrigerants'!J31,Conversions!$B$14:$B$15,0),MATCH('V1 - Refrigerants'!K31,Conversions!$C$13:$D$13,0)))</f>
        <v/>
      </c>
      <c r="M31" s="328" t="str">
        <f>IF(I31="","",_xlfn.XLOOKUP(G31,'Emission Factors'!$M$138:$M$170,'Emission Factors'!$O$138:$O$170)*L31)</f>
        <v/>
      </c>
      <c r="N31" s="305" t="str">
        <f>IF(I31="","","kgCO2e/"&amp;J31)</f>
        <v/>
      </c>
      <c r="O31" s="144" t="str">
        <f>IF(ISBLANK(H31)=TRUE,"",IF(ISBLANK(M31)=TRUE,"",H31*M31)/1000)</f>
        <v/>
      </c>
      <c r="P31" s="303" t="str">
        <f>IF(I31="","",_xlfn.XLOOKUP(G31,'Emission Factors'!$M:$M,'Emission Factors'!$P:$P))</f>
        <v/>
      </c>
      <c r="Q31" s="145"/>
      <c r="R31" s="67"/>
      <c r="S31" s="67"/>
      <c r="T31" s="67"/>
      <c r="U31" s="67"/>
      <c r="V31" s="67"/>
      <c r="W31" s="67"/>
      <c r="X31" s="67"/>
      <c r="Y31" s="67"/>
      <c r="Z31" s="67"/>
      <c r="AA31" s="67"/>
      <c r="AB31" s="67"/>
      <c r="AC31" s="67"/>
      <c r="AD31" s="151"/>
    </row>
    <row r="32" spans="1:30">
      <c r="B32" s="166"/>
      <c r="C32" s="173"/>
      <c r="D32" s="103"/>
      <c r="E32" s="104"/>
      <c r="F32" s="103"/>
      <c r="G32" s="105">
        <f t="shared" si="5"/>
        <v>0</v>
      </c>
      <c r="H32" s="143"/>
      <c r="I32" s="103"/>
      <c r="J32" s="97" t="str">
        <f t="shared" ref="J32:J60" si="6">IF(I32="","",I32)</f>
        <v/>
      </c>
      <c r="K32" s="303" t="str">
        <f>IF(I32="","",_xlfn.XLOOKUP(G32,'Emission Factors'!$M$138:$M$170,'Emission Factors'!$U$138:$U$170))</f>
        <v/>
      </c>
      <c r="L32" s="327" t="str">
        <f>IF(K32="","",INDEX(Conversions!$C$14:$D$15,MATCH('V1 - Refrigerants'!J32,Conversions!$B$14:$B$15,0),MATCH('V1 - Refrigerants'!K32,Conversions!$C$13:$D$13,0)))</f>
        <v/>
      </c>
      <c r="M32" s="328" t="str">
        <f>IF(I32="","",_xlfn.XLOOKUP(G32,'Emission Factors'!$M$138:$M$170,'Emission Factors'!$O$138:$O$170)*L32)</f>
        <v/>
      </c>
      <c r="N32" s="305" t="str">
        <f t="shared" ref="N32:N60" si="7">IF(I32="","","kgCO2e/"&amp;J32)</f>
        <v/>
      </c>
      <c r="O32" s="144" t="str">
        <f>IF(ISBLANK(H32)=TRUE,"",IF(ISBLANK(M32)=TRUE,"",H32*M32)/1000)</f>
        <v/>
      </c>
      <c r="P32" s="303" t="str">
        <f>IF(I32="","",_xlfn.XLOOKUP(G32,'Emission Factors'!$M:$M,'Emission Factors'!$P:$P))</f>
        <v/>
      </c>
      <c r="Q32" s="147"/>
      <c r="R32" s="67"/>
      <c r="S32" s="67"/>
      <c r="T32" s="67"/>
      <c r="U32" s="67"/>
      <c r="V32" s="67"/>
      <c r="W32" s="67"/>
      <c r="X32" s="67"/>
      <c r="Y32" s="67"/>
      <c r="Z32" s="67"/>
      <c r="AA32" s="67"/>
      <c r="AB32" s="67"/>
      <c r="AC32" s="67"/>
      <c r="AD32" s="151"/>
    </row>
    <row r="33" spans="2:30">
      <c r="B33" s="166"/>
      <c r="C33" s="173"/>
      <c r="D33" s="103"/>
      <c r="E33" s="104"/>
      <c r="F33" s="103"/>
      <c r="G33" s="105">
        <f t="shared" si="5"/>
        <v>0</v>
      </c>
      <c r="H33" s="143"/>
      <c r="I33" s="103"/>
      <c r="J33" s="97" t="str">
        <f t="shared" si="6"/>
        <v/>
      </c>
      <c r="K33" s="303" t="str">
        <f>IF(I33="","",_xlfn.XLOOKUP(G33,'Emission Factors'!$M$138:$M$170,'Emission Factors'!$U$138:$U$170))</f>
        <v/>
      </c>
      <c r="L33" s="329" t="str">
        <f>IF(K33="","",INDEX(Conversions!$C$14:$D$15,MATCH('V1 - Refrigerants'!J33,Conversions!$B$14:$B$15,0),MATCH('V1 - Refrigerants'!K33,Conversions!$C$13:$D$13,0)))</f>
        <v/>
      </c>
      <c r="M33" s="328" t="str">
        <f>IF(I33="","",_xlfn.XLOOKUP(G33,'Emission Factors'!$M$138:$M$170,'Emission Factors'!$O$138:$O$170)*L33)</f>
        <v/>
      </c>
      <c r="N33" s="305" t="str">
        <f t="shared" si="7"/>
        <v/>
      </c>
      <c r="O33" s="144" t="str">
        <f t="shared" ref="O33" si="8">IF(ISBLANK(H33)=TRUE,"",IF(ISBLANK(M33)=TRUE,"",H33*M33)/1000)</f>
        <v/>
      </c>
      <c r="P33" s="303" t="str">
        <f>IF(I33="","",_xlfn.XLOOKUP(G33,'Emission Factors'!$M:$M,'Emission Factors'!$P:$P))</f>
        <v/>
      </c>
      <c r="Q33" s="147"/>
      <c r="R33" s="67"/>
      <c r="S33" s="67"/>
      <c r="T33" s="67"/>
      <c r="U33" s="67"/>
      <c r="V33" s="67"/>
      <c r="W33" s="67"/>
      <c r="X33" s="67"/>
      <c r="Y33" s="67"/>
      <c r="Z33" s="67"/>
      <c r="AA33" s="67"/>
      <c r="AB33" s="67"/>
      <c r="AC33" s="67"/>
      <c r="AD33" s="151"/>
    </row>
    <row r="34" spans="2:30">
      <c r="B34" s="166"/>
      <c r="C34" s="173"/>
      <c r="D34" s="103"/>
      <c r="E34" s="104"/>
      <c r="F34" s="103"/>
      <c r="G34" s="105">
        <f t="shared" si="5"/>
        <v>0</v>
      </c>
      <c r="H34" s="143"/>
      <c r="I34" s="103"/>
      <c r="J34" s="97" t="str">
        <f t="shared" si="6"/>
        <v/>
      </c>
      <c r="K34" s="303" t="str">
        <f>IF(I34="","",_xlfn.XLOOKUP(G34,'Emission Factors'!$M$138:$M$170,'Emission Factors'!$U$138:$U$170))</f>
        <v/>
      </c>
      <c r="L34" s="329" t="str">
        <f>IF(K34="","",INDEX(Conversions!$C$14:$D$15,MATCH('V1 - Refrigerants'!J34,Conversions!$B$14:$B$15,0),MATCH('V1 - Refrigerants'!K34,Conversions!$C$13:$D$13,0)))</f>
        <v/>
      </c>
      <c r="M34" s="328" t="str">
        <f>IF(I34="","",_xlfn.XLOOKUP(G34,'Emission Factors'!$M$138:$M$170,'Emission Factors'!$O$138:$O$170)*L34)</f>
        <v/>
      </c>
      <c r="N34" s="305" t="str">
        <f t="shared" si="7"/>
        <v/>
      </c>
      <c r="O34" s="144" t="str">
        <f>IF(ISBLANK(H34)=TRUE,"",IF(ISBLANK(M34)=TRUE,"",H34*M34)/1000)</f>
        <v/>
      </c>
      <c r="P34" s="303" t="str">
        <f>IF(I34="","",_xlfn.XLOOKUP(G34,'Emission Factors'!$M:$M,'Emission Factors'!$P:$P))</f>
        <v/>
      </c>
      <c r="Q34" s="147"/>
      <c r="R34" s="67"/>
      <c r="S34" s="67"/>
      <c r="T34" s="67"/>
      <c r="U34" s="67"/>
      <c r="V34" s="67"/>
      <c r="W34" s="67"/>
      <c r="X34" s="67"/>
      <c r="Y34" s="67"/>
      <c r="Z34" s="67"/>
      <c r="AA34" s="67"/>
      <c r="AB34" s="67"/>
      <c r="AC34" s="67"/>
      <c r="AD34" s="151"/>
    </row>
    <row r="35" spans="2:30">
      <c r="B35" s="166"/>
      <c r="C35" s="173"/>
      <c r="D35" s="103"/>
      <c r="E35" s="104"/>
      <c r="F35" s="103"/>
      <c r="G35" s="105">
        <f t="shared" si="5"/>
        <v>0</v>
      </c>
      <c r="H35" s="143"/>
      <c r="I35" s="103"/>
      <c r="J35" s="97" t="str">
        <f t="shared" si="6"/>
        <v/>
      </c>
      <c r="K35" s="303" t="str">
        <f>IF(I35="","",_xlfn.XLOOKUP(G35,'Emission Factors'!$M$138:$M$170,'Emission Factors'!$U$138:$U$170))</f>
        <v/>
      </c>
      <c r="L35" s="329" t="str">
        <f>IF(K35="","",INDEX(Conversions!$C$14:$D$15,MATCH('V1 - Refrigerants'!J35,Conversions!$B$14:$B$15,0),MATCH('V1 - Refrigerants'!K35,Conversions!$C$13:$D$13,0)))</f>
        <v/>
      </c>
      <c r="M35" s="328" t="str">
        <f>IF(I35="","",_xlfn.XLOOKUP(G35,'Emission Factors'!$M$138:$M$170,'Emission Factors'!$O$138:$O$170)*L35)</f>
        <v/>
      </c>
      <c r="N35" s="305" t="str">
        <f t="shared" si="7"/>
        <v/>
      </c>
      <c r="O35" s="144" t="str">
        <f t="shared" ref="O35:O60" si="9">IF(ISBLANK(H35)=TRUE,"",IF(ISBLANK(M35)=TRUE,"",H35*M35)/1000)</f>
        <v/>
      </c>
      <c r="P35" s="303" t="str">
        <f>IF(I35="","",_xlfn.XLOOKUP(G35,'Emission Factors'!$M:$M,'Emission Factors'!$P:$P))</f>
        <v/>
      </c>
      <c r="Q35" s="147"/>
      <c r="R35" s="67"/>
      <c r="S35" s="67"/>
      <c r="T35" s="67"/>
      <c r="U35" s="67"/>
      <c r="V35" s="67"/>
      <c r="W35" s="67"/>
      <c r="X35" s="67"/>
      <c r="Y35" s="67"/>
      <c r="Z35" s="67"/>
      <c r="AA35" s="67"/>
      <c r="AB35" s="67"/>
      <c r="AC35" s="67"/>
      <c r="AD35" s="151"/>
    </row>
    <row r="36" spans="2:30">
      <c r="B36" s="166"/>
      <c r="C36" s="173"/>
      <c r="D36" s="103"/>
      <c r="E36" s="104"/>
      <c r="F36" s="103"/>
      <c r="G36" s="105">
        <f t="shared" si="5"/>
        <v>0</v>
      </c>
      <c r="H36" s="143"/>
      <c r="I36" s="103"/>
      <c r="J36" s="97" t="str">
        <f>IF(I36="","",I36)</f>
        <v/>
      </c>
      <c r="K36" s="303" t="str">
        <f>IF(I36="","",_xlfn.XLOOKUP(G36,'Emission Factors'!$M$138:$M$170,'Emission Factors'!$U$138:$U$170))</f>
        <v/>
      </c>
      <c r="L36" s="329" t="str">
        <f>IF(K36="","",INDEX(Conversions!$C$14:$D$15,MATCH('V1 - Refrigerants'!J36,Conversions!$B$14:$B$15,0),MATCH('V1 - Refrigerants'!K36,Conversions!$C$13:$D$13,0)))</f>
        <v/>
      </c>
      <c r="M36" s="328" t="str">
        <f>IF(I36="","",_xlfn.XLOOKUP(G36,'Emission Factors'!$M$138:$M$170,'Emission Factors'!$O$138:$O$170)*L36)</f>
        <v/>
      </c>
      <c r="N36" s="305" t="str">
        <f t="shared" si="7"/>
        <v/>
      </c>
      <c r="O36" s="144" t="str">
        <f t="shared" si="9"/>
        <v/>
      </c>
      <c r="P36" s="303" t="str">
        <f>IF(I36="","",_xlfn.XLOOKUP(G36,'Emission Factors'!$M:$M,'Emission Factors'!$P:$P))</f>
        <v/>
      </c>
      <c r="Q36" s="147"/>
      <c r="R36" s="67"/>
      <c r="S36" s="67"/>
      <c r="T36" s="67"/>
      <c r="U36" s="67"/>
      <c r="V36" s="67"/>
      <c r="W36" s="67"/>
      <c r="X36" s="67"/>
      <c r="Y36" s="67"/>
      <c r="Z36" s="67"/>
      <c r="AA36" s="67"/>
      <c r="AB36" s="67"/>
      <c r="AC36" s="67"/>
      <c r="AD36" s="151"/>
    </row>
    <row r="37" spans="2:30">
      <c r="B37" s="166"/>
      <c r="C37" s="173"/>
      <c r="D37" s="103"/>
      <c r="E37" s="104"/>
      <c r="F37" s="103"/>
      <c r="G37" s="105">
        <f t="shared" si="5"/>
        <v>0</v>
      </c>
      <c r="H37" s="143"/>
      <c r="I37" s="103"/>
      <c r="J37" s="97" t="str">
        <f>IF(I37="","",I37)</f>
        <v/>
      </c>
      <c r="K37" s="303" t="str">
        <f>IF(I37="","",_xlfn.XLOOKUP(G37,'Emission Factors'!$M$138:$M$170,'Emission Factors'!$U$138:$U$170))</f>
        <v/>
      </c>
      <c r="L37" s="329" t="str">
        <f>IF(K37="","",INDEX(Conversions!$C$14:$D$15,MATCH('V1 - Refrigerants'!J37,Conversions!$B$14:$B$15,0),MATCH('V1 - Refrigerants'!K37,Conversions!$C$13:$D$13,0)))</f>
        <v/>
      </c>
      <c r="M37" s="328" t="str">
        <f>IF(I37="","",_xlfn.XLOOKUP(G37,'Emission Factors'!$M$138:$M$170,'Emission Factors'!$O$138:$O$170)*L37)</f>
        <v/>
      </c>
      <c r="N37" s="305" t="str">
        <f t="shared" si="7"/>
        <v/>
      </c>
      <c r="O37" s="144" t="str">
        <f t="shared" si="9"/>
        <v/>
      </c>
      <c r="P37" s="303" t="str">
        <f>IF(I37="","",_xlfn.XLOOKUP(G37,'Emission Factors'!$M:$M,'Emission Factors'!$P:$P))</f>
        <v/>
      </c>
      <c r="Q37" s="147"/>
      <c r="R37" s="67"/>
      <c r="S37" s="67"/>
      <c r="T37" s="67"/>
      <c r="U37" s="67"/>
      <c r="V37" s="67"/>
      <c r="W37" s="67"/>
      <c r="X37" s="67"/>
      <c r="Y37" s="67"/>
      <c r="Z37" s="67"/>
      <c r="AA37" s="67"/>
      <c r="AB37" s="67"/>
      <c r="AC37" s="67"/>
      <c r="AD37" s="151"/>
    </row>
    <row r="38" spans="2:30">
      <c r="B38" s="166"/>
      <c r="C38" s="173"/>
      <c r="D38" s="103"/>
      <c r="E38" s="104"/>
      <c r="F38" s="103"/>
      <c r="G38" s="105">
        <f t="shared" si="5"/>
        <v>0</v>
      </c>
      <c r="H38" s="143"/>
      <c r="I38" s="103"/>
      <c r="J38" s="97" t="str">
        <f t="shared" si="6"/>
        <v/>
      </c>
      <c r="K38" s="303" t="str">
        <f>IF(I38="","",_xlfn.XLOOKUP(G38,'Emission Factors'!$M$138:$M$170,'Emission Factors'!$U$138:$U$170))</f>
        <v/>
      </c>
      <c r="L38" s="329" t="str">
        <f>IF(K38="","",INDEX(Conversions!$C$14:$D$15,MATCH('V1 - Refrigerants'!J38,Conversions!$B$14:$B$15,0),MATCH('V1 - Refrigerants'!K38,Conversions!$C$13:$D$13,0)))</f>
        <v/>
      </c>
      <c r="M38" s="328" t="str">
        <f>IF(I38="","",_xlfn.XLOOKUP(G38,'Emission Factors'!$M$138:$M$170,'Emission Factors'!$O$138:$O$170)*L38)</f>
        <v/>
      </c>
      <c r="N38" s="305" t="str">
        <f t="shared" si="7"/>
        <v/>
      </c>
      <c r="O38" s="144" t="str">
        <f t="shared" si="9"/>
        <v/>
      </c>
      <c r="P38" s="303" t="str">
        <f>IF(I38="","",_xlfn.XLOOKUP(G38,'Emission Factors'!$M:$M,'Emission Factors'!$P:$P))</f>
        <v/>
      </c>
      <c r="Q38" s="147"/>
      <c r="R38" s="67"/>
      <c r="S38" s="67"/>
      <c r="T38" s="67"/>
      <c r="U38" s="67"/>
      <c r="V38" s="67"/>
      <c r="W38" s="67"/>
      <c r="X38" s="67"/>
      <c r="Y38" s="67"/>
      <c r="Z38" s="67"/>
      <c r="AA38" s="67"/>
      <c r="AB38" s="67"/>
      <c r="AC38" s="67"/>
      <c r="AD38" s="151"/>
    </row>
    <row r="39" spans="2:30">
      <c r="B39" s="166"/>
      <c r="C39" s="173"/>
      <c r="D39" s="103"/>
      <c r="E39" s="104"/>
      <c r="F39" s="103"/>
      <c r="G39" s="105">
        <f t="shared" si="5"/>
        <v>0</v>
      </c>
      <c r="H39" s="143"/>
      <c r="I39" s="103"/>
      <c r="J39" s="97" t="str">
        <f t="shared" si="6"/>
        <v/>
      </c>
      <c r="K39" s="303" t="str">
        <f>IF(I39="","",_xlfn.XLOOKUP(G39,'Emission Factors'!$M$138:$M$170,'Emission Factors'!$U$138:$U$170))</f>
        <v/>
      </c>
      <c r="L39" s="329" t="str">
        <f>IF(K39="","",INDEX(Conversions!$C$14:$D$15,MATCH('V1 - Refrigerants'!J39,Conversions!$B$14:$B$15,0),MATCH('V1 - Refrigerants'!K39,Conversions!$C$13:$D$13,0)))</f>
        <v/>
      </c>
      <c r="M39" s="328" t="str">
        <f>IF(I39="","",_xlfn.XLOOKUP(G39,'Emission Factors'!$M$138:$M$170,'Emission Factors'!$O$138:$O$170)*L39)</f>
        <v/>
      </c>
      <c r="N39" s="305" t="str">
        <f t="shared" si="7"/>
        <v/>
      </c>
      <c r="O39" s="144" t="str">
        <f t="shared" si="9"/>
        <v/>
      </c>
      <c r="P39" s="303" t="str">
        <f>IF(I39="","",_xlfn.XLOOKUP(G39,'Emission Factors'!$M:$M,'Emission Factors'!$P:$P))</f>
        <v/>
      </c>
      <c r="Q39" s="147"/>
      <c r="R39" s="67"/>
      <c r="S39" s="67"/>
      <c r="T39" s="67"/>
      <c r="U39" s="67"/>
      <c r="V39" s="67"/>
      <c r="W39" s="67"/>
      <c r="X39" s="67"/>
      <c r="Y39" s="67"/>
      <c r="Z39" s="67"/>
      <c r="AA39" s="67"/>
      <c r="AB39" s="67"/>
      <c r="AC39" s="67"/>
      <c r="AD39" s="151"/>
    </row>
    <row r="40" spans="2:30">
      <c r="B40" s="166"/>
      <c r="C40" s="173"/>
      <c r="D40" s="103"/>
      <c r="E40" s="104"/>
      <c r="F40" s="103"/>
      <c r="G40" s="105">
        <f t="shared" si="5"/>
        <v>0</v>
      </c>
      <c r="H40" s="143"/>
      <c r="I40" s="103"/>
      <c r="J40" s="97" t="str">
        <f t="shared" si="6"/>
        <v/>
      </c>
      <c r="K40" s="303" t="str">
        <f>IF(I40="","",_xlfn.XLOOKUP(G40,'Emission Factors'!$M$138:$M$170,'Emission Factors'!$U$138:$U$170))</f>
        <v/>
      </c>
      <c r="L40" s="329" t="str">
        <f>IF(K40="","",INDEX(Conversions!$C$14:$D$15,MATCH('V1 - Refrigerants'!J40,Conversions!$B$14:$B$15,0),MATCH('V1 - Refrigerants'!K40,Conversions!$C$13:$D$13,0)))</f>
        <v/>
      </c>
      <c r="M40" s="328" t="str">
        <f>IF(I40="","",_xlfn.XLOOKUP(G40,'Emission Factors'!$M$138:$M$170,'Emission Factors'!$O$138:$O$170)*L40)</f>
        <v/>
      </c>
      <c r="N40" s="305" t="str">
        <f t="shared" si="7"/>
        <v/>
      </c>
      <c r="O40" s="144" t="str">
        <f t="shared" si="9"/>
        <v/>
      </c>
      <c r="P40" s="303" t="str">
        <f>IF(I40="","",_xlfn.XLOOKUP(G40,'Emission Factors'!$M:$M,'Emission Factors'!$P:$P))</f>
        <v/>
      </c>
      <c r="Q40" s="147"/>
      <c r="R40" s="67"/>
      <c r="S40" s="67"/>
      <c r="T40" s="67"/>
      <c r="U40" s="67"/>
      <c r="V40" s="67"/>
      <c r="W40" s="67"/>
      <c r="X40" s="67"/>
      <c r="Y40" s="67"/>
      <c r="Z40" s="67"/>
      <c r="AA40" s="67"/>
      <c r="AB40" s="67"/>
      <c r="AC40" s="67"/>
      <c r="AD40" s="151"/>
    </row>
    <row r="41" spans="2:30">
      <c r="B41" s="166"/>
      <c r="C41" s="173"/>
      <c r="D41" s="103"/>
      <c r="E41" s="104"/>
      <c r="F41" s="103"/>
      <c r="G41" s="105">
        <f t="shared" si="5"/>
        <v>0</v>
      </c>
      <c r="H41" s="143"/>
      <c r="I41" s="103"/>
      <c r="J41" s="97" t="str">
        <f t="shared" si="6"/>
        <v/>
      </c>
      <c r="K41" s="303" t="str">
        <f>IF(I41="","",_xlfn.XLOOKUP(G41,'Emission Factors'!$M$138:$M$170,'Emission Factors'!$U$138:$U$170))</f>
        <v/>
      </c>
      <c r="L41" s="329" t="str">
        <f>IF(K41="","",INDEX(Conversions!$C$14:$D$15,MATCH('V1 - Refrigerants'!J41,Conversions!$B$14:$B$15,0),MATCH('V1 - Refrigerants'!K41,Conversions!$C$13:$D$13,0)))</f>
        <v/>
      </c>
      <c r="M41" s="328" t="str">
        <f>IF(I41="","",_xlfn.XLOOKUP(G41,'Emission Factors'!$M$138:$M$170,'Emission Factors'!$O$138:$O$170)*L41)</f>
        <v/>
      </c>
      <c r="N41" s="305" t="str">
        <f t="shared" si="7"/>
        <v/>
      </c>
      <c r="O41" s="144" t="str">
        <f t="shared" si="9"/>
        <v/>
      </c>
      <c r="P41" s="303" t="str">
        <f>IF(I41="","",_xlfn.XLOOKUP(G41,'Emission Factors'!$M:$M,'Emission Factors'!$P:$P))</f>
        <v/>
      </c>
      <c r="Q41" s="147"/>
      <c r="R41" s="67"/>
      <c r="S41" s="67"/>
      <c r="T41" s="67"/>
      <c r="U41" s="67"/>
      <c r="V41" s="67"/>
      <c r="W41" s="67"/>
      <c r="X41" s="67"/>
      <c r="Y41" s="67"/>
      <c r="Z41" s="67"/>
      <c r="AA41" s="67"/>
      <c r="AB41" s="67"/>
      <c r="AC41" s="67"/>
      <c r="AD41" s="151"/>
    </row>
    <row r="42" spans="2:30">
      <c r="B42" s="166"/>
      <c r="C42" s="173"/>
      <c r="D42" s="103"/>
      <c r="E42" s="104"/>
      <c r="F42" s="103"/>
      <c r="G42" s="105">
        <f t="shared" si="5"/>
        <v>0</v>
      </c>
      <c r="H42" s="143"/>
      <c r="I42" s="103"/>
      <c r="J42" s="97" t="str">
        <f t="shared" si="6"/>
        <v/>
      </c>
      <c r="K42" s="303" t="str">
        <f>IF(I42="","",_xlfn.XLOOKUP(G42,'Emission Factors'!$M$138:$M$170,'Emission Factors'!$U$138:$U$170))</f>
        <v/>
      </c>
      <c r="L42" s="329" t="str">
        <f>IF(K42="","",INDEX(Conversions!$C$14:$D$15,MATCH('V1 - Refrigerants'!J42,Conversions!$B$14:$B$15,0),MATCH('V1 - Refrigerants'!K42,Conversions!$C$13:$D$13,0)))</f>
        <v/>
      </c>
      <c r="M42" s="328" t="str">
        <f>IF(I42="","",_xlfn.XLOOKUP(G42,'Emission Factors'!$M$138:$M$170,'Emission Factors'!$O$138:$O$170)*L42)</f>
        <v/>
      </c>
      <c r="N42" s="305" t="str">
        <f t="shared" si="7"/>
        <v/>
      </c>
      <c r="O42" s="144" t="str">
        <f t="shared" si="9"/>
        <v/>
      </c>
      <c r="P42" s="303" t="str">
        <f>IF(I42="","",_xlfn.XLOOKUP(G42,'Emission Factors'!$M:$M,'Emission Factors'!$P:$P))</f>
        <v/>
      </c>
      <c r="Q42" s="147"/>
      <c r="R42" s="67"/>
      <c r="S42" s="67"/>
      <c r="T42" s="67"/>
      <c r="U42" s="67"/>
      <c r="V42" s="67"/>
      <c r="W42" s="67"/>
      <c r="X42" s="67"/>
      <c r="Y42" s="67"/>
      <c r="Z42" s="67"/>
      <c r="AA42" s="67"/>
      <c r="AB42" s="67"/>
      <c r="AC42" s="67"/>
      <c r="AD42" s="151"/>
    </row>
    <row r="43" spans="2:30">
      <c r="B43" s="166"/>
      <c r="C43" s="173"/>
      <c r="D43" s="103"/>
      <c r="E43" s="104"/>
      <c r="F43" s="103"/>
      <c r="G43" s="105">
        <f t="shared" si="5"/>
        <v>0</v>
      </c>
      <c r="H43" s="143"/>
      <c r="I43" s="103"/>
      <c r="J43" s="97" t="str">
        <f t="shared" si="6"/>
        <v/>
      </c>
      <c r="K43" s="303" t="str">
        <f>IF(I43="","",_xlfn.XLOOKUP(G43,'Emission Factors'!$M$138:$M$170,'Emission Factors'!$U$138:$U$170))</f>
        <v/>
      </c>
      <c r="L43" s="329" t="str">
        <f>IF(K43="","",INDEX(Conversions!$C$14:$D$15,MATCH('V1 - Refrigerants'!J43,Conversions!$B$14:$B$15,0),MATCH('V1 - Refrigerants'!K43,Conversions!$C$13:$D$13,0)))</f>
        <v/>
      </c>
      <c r="M43" s="328" t="str">
        <f>IF(I43="","",_xlfn.XLOOKUP(G43,'Emission Factors'!$M$138:$M$170,'Emission Factors'!$O$138:$O$170)*L43)</f>
        <v/>
      </c>
      <c r="N43" s="305" t="str">
        <f t="shared" si="7"/>
        <v/>
      </c>
      <c r="O43" s="144" t="str">
        <f t="shared" si="9"/>
        <v/>
      </c>
      <c r="P43" s="303" t="str">
        <f>IF(I43="","",_xlfn.XLOOKUP(G43,'Emission Factors'!$M:$M,'Emission Factors'!$P:$P))</f>
        <v/>
      </c>
      <c r="Q43" s="147"/>
      <c r="R43" s="67"/>
      <c r="S43" s="67"/>
      <c r="T43" s="67"/>
      <c r="U43" s="67"/>
      <c r="V43" s="67"/>
      <c r="W43" s="67"/>
      <c r="X43" s="67"/>
      <c r="Y43" s="67"/>
      <c r="Z43" s="67"/>
      <c r="AA43" s="67"/>
      <c r="AB43" s="67"/>
      <c r="AC43" s="67"/>
      <c r="AD43" s="151"/>
    </row>
    <row r="44" spans="2:30">
      <c r="B44" s="166"/>
      <c r="C44" s="173"/>
      <c r="D44" s="103"/>
      <c r="E44" s="104"/>
      <c r="F44" s="103"/>
      <c r="G44" s="105">
        <f t="shared" si="5"/>
        <v>0</v>
      </c>
      <c r="H44" s="143"/>
      <c r="I44" s="103"/>
      <c r="J44" s="97" t="str">
        <f t="shared" si="6"/>
        <v/>
      </c>
      <c r="K44" s="303" t="str">
        <f>IF(I44="","",_xlfn.XLOOKUP(G44,'Emission Factors'!$M$138:$M$170,'Emission Factors'!$U$138:$U$170))</f>
        <v/>
      </c>
      <c r="L44" s="329" t="str">
        <f>IF(K44="","",INDEX(Conversions!$C$14:$D$15,MATCH('V1 - Refrigerants'!J44,Conversions!$B$14:$B$15,0),MATCH('V1 - Refrigerants'!K44,Conversions!$C$13:$D$13,0)))</f>
        <v/>
      </c>
      <c r="M44" s="328" t="str">
        <f>IF(I44="","",_xlfn.XLOOKUP(G44,'Emission Factors'!$M$138:$M$170,'Emission Factors'!$O$138:$O$170)*L44)</f>
        <v/>
      </c>
      <c r="N44" s="305" t="str">
        <f t="shared" si="7"/>
        <v/>
      </c>
      <c r="O44" s="144" t="str">
        <f t="shared" si="9"/>
        <v/>
      </c>
      <c r="P44" s="303" t="str">
        <f>IF(I44="","",_xlfn.XLOOKUP(G44,'Emission Factors'!$M:$M,'Emission Factors'!$P:$P))</f>
        <v/>
      </c>
      <c r="Q44" s="147"/>
      <c r="R44" s="67"/>
      <c r="S44" s="67"/>
      <c r="T44" s="67"/>
      <c r="U44" s="67"/>
      <c r="V44" s="67"/>
      <c r="W44" s="67"/>
      <c r="X44" s="67"/>
      <c r="Y44" s="67"/>
      <c r="Z44" s="67"/>
      <c r="AA44" s="67"/>
      <c r="AB44" s="67"/>
      <c r="AC44" s="67"/>
      <c r="AD44" s="151"/>
    </row>
    <row r="45" spans="2:30">
      <c r="B45" s="166"/>
      <c r="C45" s="173"/>
      <c r="D45" s="103"/>
      <c r="E45" s="104"/>
      <c r="F45" s="103"/>
      <c r="G45" s="105">
        <f t="shared" si="5"/>
        <v>0</v>
      </c>
      <c r="H45" s="143"/>
      <c r="I45" s="103"/>
      <c r="J45" s="97" t="str">
        <f t="shared" si="6"/>
        <v/>
      </c>
      <c r="K45" s="303" t="str">
        <f>IF(I45="","",_xlfn.XLOOKUP(G45,'Emission Factors'!$M$138:$M$170,'Emission Factors'!$U$138:$U$170))</f>
        <v/>
      </c>
      <c r="L45" s="329" t="str">
        <f>IF(K45="","",INDEX(Conversions!$C$14:$D$15,MATCH('V1 - Refrigerants'!J45,Conversions!$B$14:$B$15,0),MATCH('V1 - Refrigerants'!K45,Conversions!$C$13:$D$13,0)))</f>
        <v/>
      </c>
      <c r="M45" s="328" t="str">
        <f>IF(I45="","",_xlfn.XLOOKUP(G45,'Emission Factors'!$M$138:$M$170,'Emission Factors'!$O$138:$O$170)*L45)</f>
        <v/>
      </c>
      <c r="N45" s="305" t="str">
        <f t="shared" si="7"/>
        <v/>
      </c>
      <c r="O45" s="144" t="str">
        <f t="shared" si="9"/>
        <v/>
      </c>
      <c r="P45" s="303" t="str">
        <f>IF(I45="","",_xlfn.XLOOKUP(G45,'Emission Factors'!$M:$M,'Emission Factors'!$P:$P))</f>
        <v/>
      </c>
      <c r="Q45" s="147"/>
      <c r="R45" s="67"/>
      <c r="S45" s="67"/>
      <c r="T45" s="67"/>
      <c r="U45" s="67"/>
      <c r="V45" s="67"/>
      <c r="W45" s="67"/>
      <c r="X45" s="67"/>
      <c r="Y45" s="67"/>
      <c r="Z45" s="67"/>
      <c r="AA45" s="67"/>
      <c r="AB45" s="67"/>
      <c r="AC45" s="67"/>
      <c r="AD45" s="151"/>
    </row>
    <row r="46" spans="2:30">
      <c r="B46" s="166"/>
      <c r="C46" s="173"/>
      <c r="D46" s="103"/>
      <c r="E46" s="104"/>
      <c r="F46" s="103"/>
      <c r="G46" s="105">
        <f t="shared" si="5"/>
        <v>0</v>
      </c>
      <c r="H46" s="143"/>
      <c r="I46" s="103"/>
      <c r="J46" s="97" t="str">
        <f t="shared" si="6"/>
        <v/>
      </c>
      <c r="K46" s="303" t="str">
        <f>IF(I46="","",_xlfn.XLOOKUP(G46,'Emission Factors'!$M$138:$M$170,'Emission Factors'!$U$138:$U$170))</f>
        <v/>
      </c>
      <c r="L46" s="329" t="str">
        <f>IF(K46="","",INDEX(Conversions!$C$14:$D$15,MATCH('V1 - Refrigerants'!J46,Conversions!$B$14:$B$15,0),MATCH('V1 - Refrigerants'!K46,Conversions!$C$13:$D$13,0)))</f>
        <v/>
      </c>
      <c r="M46" s="328" t="str">
        <f>IF(I46="","",_xlfn.XLOOKUP(G46,'Emission Factors'!$M$138:$M$170,'Emission Factors'!$O$138:$O$170)*L46)</f>
        <v/>
      </c>
      <c r="N46" s="305" t="str">
        <f t="shared" si="7"/>
        <v/>
      </c>
      <c r="O46" s="144" t="str">
        <f t="shared" si="9"/>
        <v/>
      </c>
      <c r="P46" s="303" t="str">
        <f>IF(I46="","",_xlfn.XLOOKUP(G46,'Emission Factors'!$M:$M,'Emission Factors'!$P:$P))</f>
        <v/>
      </c>
      <c r="Q46" s="147"/>
      <c r="R46" s="67"/>
      <c r="S46" s="67"/>
      <c r="T46" s="67"/>
      <c r="U46" s="67"/>
      <c r="V46" s="67"/>
      <c r="W46" s="67"/>
      <c r="X46" s="67"/>
      <c r="Y46" s="67"/>
      <c r="Z46" s="67"/>
      <c r="AA46" s="67"/>
      <c r="AB46" s="67"/>
      <c r="AC46" s="67"/>
      <c r="AD46" s="151"/>
    </row>
    <row r="47" spans="2:30">
      <c r="B47" s="166"/>
      <c r="C47" s="173"/>
      <c r="D47" s="103"/>
      <c r="E47" s="104"/>
      <c r="F47" s="103"/>
      <c r="G47" s="105">
        <f t="shared" si="5"/>
        <v>0</v>
      </c>
      <c r="H47" s="143"/>
      <c r="I47" s="103"/>
      <c r="J47" s="97" t="str">
        <f t="shared" si="6"/>
        <v/>
      </c>
      <c r="K47" s="303" t="str">
        <f>IF(I47="","",_xlfn.XLOOKUP(G47,'Emission Factors'!$M$138:$M$170,'Emission Factors'!$U$138:$U$170))</f>
        <v/>
      </c>
      <c r="L47" s="329" t="str">
        <f>IF(K47="","",INDEX(Conversions!$C$14:$D$15,MATCH('V1 - Refrigerants'!J47,Conversions!$B$14:$B$15,0),MATCH('V1 - Refrigerants'!K47,Conversions!$C$13:$D$13,0)))</f>
        <v/>
      </c>
      <c r="M47" s="328" t="str">
        <f>IF(I47="","",_xlfn.XLOOKUP(G47,'Emission Factors'!$M$138:$M$170,'Emission Factors'!$O$138:$O$170)*L47)</f>
        <v/>
      </c>
      <c r="N47" s="305" t="str">
        <f t="shared" si="7"/>
        <v/>
      </c>
      <c r="O47" s="144" t="str">
        <f t="shared" si="9"/>
        <v/>
      </c>
      <c r="P47" s="303" t="str">
        <f>IF(I47="","",_xlfn.XLOOKUP(G47,'Emission Factors'!$M:$M,'Emission Factors'!$P:$P))</f>
        <v/>
      </c>
      <c r="Q47" s="147"/>
      <c r="R47" s="67"/>
      <c r="S47" s="67"/>
      <c r="T47" s="67"/>
      <c r="U47" s="67"/>
      <c r="V47" s="67"/>
      <c r="W47" s="67"/>
      <c r="X47" s="67"/>
      <c r="Y47" s="67"/>
      <c r="Z47" s="67"/>
      <c r="AA47" s="67"/>
      <c r="AB47" s="67"/>
      <c r="AC47" s="67"/>
      <c r="AD47" s="151"/>
    </row>
    <row r="48" spans="2:30">
      <c r="B48" s="166"/>
      <c r="C48" s="173"/>
      <c r="D48" s="103"/>
      <c r="E48" s="104"/>
      <c r="F48" s="103"/>
      <c r="G48" s="105">
        <f t="shared" si="5"/>
        <v>0</v>
      </c>
      <c r="H48" s="143"/>
      <c r="I48" s="103"/>
      <c r="J48" s="97" t="str">
        <f t="shared" si="6"/>
        <v/>
      </c>
      <c r="K48" s="303" t="str">
        <f>IF(I48="","",_xlfn.XLOOKUP(G48,'Emission Factors'!$M$138:$M$170,'Emission Factors'!$U$138:$U$170))</f>
        <v/>
      </c>
      <c r="L48" s="329" t="str">
        <f>IF(K48="","",INDEX(Conversions!$C$14:$D$15,MATCH('V1 - Refrigerants'!J48,Conversions!$B$14:$B$15,0),MATCH('V1 - Refrigerants'!K48,Conversions!$C$13:$D$13,0)))</f>
        <v/>
      </c>
      <c r="M48" s="328" t="str">
        <f>IF(I48="","",_xlfn.XLOOKUP(G48,'Emission Factors'!$M$138:$M$170,'Emission Factors'!$O$138:$O$170)*L48)</f>
        <v/>
      </c>
      <c r="N48" s="305" t="str">
        <f t="shared" si="7"/>
        <v/>
      </c>
      <c r="O48" s="144" t="str">
        <f t="shared" si="9"/>
        <v/>
      </c>
      <c r="P48" s="303" t="str">
        <f>IF(I48="","",_xlfn.XLOOKUP(G48,'Emission Factors'!$M:$M,'Emission Factors'!$P:$P))</f>
        <v/>
      </c>
      <c r="Q48" s="147"/>
      <c r="R48" s="67"/>
      <c r="S48" s="67"/>
      <c r="T48" s="67"/>
      <c r="U48" s="67"/>
      <c r="V48" s="67"/>
      <c r="W48" s="67"/>
      <c r="X48" s="67"/>
      <c r="Y48" s="67"/>
      <c r="Z48" s="67"/>
      <c r="AA48" s="67"/>
      <c r="AB48" s="67"/>
      <c r="AC48" s="67"/>
      <c r="AD48" s="151"/>
    </row>
    <row r="49" spans="2:30">
      <c r="B49" s="166"/>
      <c r="C49" s="173"/>
      <c r="D49" s="103"/>
      <c r="E49" s="104"/>
      <c r="F49" s="103"/>
      <c r="G49" s="105">
        <f t="shared" si="5"/>
        <v>0</v>
      </c>
      <c r="H49" s="143"/>
      <c r="I49" s="103"/>
      <c r="J49" s="97" t="str">
        <f t="shared" si="6"/>
        <v/>
      </c>
      <c r="K49" s="303" t="str">
        <f>IF(I49="","",_xlfn.XLOOKUP(G49,'Emission Factors'!$M$138:$M$170,'Emission Factors'!$U$138:$U$170))</f>
        <v/>
      </c>
      <c r="L49" s="329" t="str">
        <f>IF(K49="","",INDEX(Conversions!$C$14:$D$15,MATCH('V1 - Refrigerants'!J49,Conversions!$B$14:$B$15,0),MATCH('V1 - Refrigerants'!K49,Conversions!$C$13:$D$13,0)))</f>
        <v/>
      </c>
      <c r="M49" s="328" t="str">
        <f>IF(I49="","",_xlfn.XLOOKUP(G49,'Emission Factors'!$M$138:$M$170,'Emission Factors'!$O$138:$O$170)*L49)</f>
        <v/>
      </c>
      <c r="N49" s="305" t="str">
        <f t="shared" si="7"/>
        <v/>
      </c>
      <c r="O49" s="144" t="str">
        <f t="shared" si="9"/>
        <v/>
      </c>
      <c r="P49" s="303" t="str">
        <f>IF(I49="","",_xlfn.XLOOKUP(G49,'Emission Factors'!$M:$M,'Emission Factors'!$P:$P))</f>
        <v/>
      </c>
      <c r="Q49" s="147"/>
      <c r="R49" s="67"/>
      <c r="S49" s="67"/>
      <c r="T49" s="67"/>
      <c r="U49" s="67"/>
      <c r="V49" s="67"/>
      <c r="W49" s="67"/>
      <c r="X49" s="67"/>
      <c r="Y49" s="67"/>
      <c r="Z49" s="67"/>
      <c r="AA49" s="67"/>
      <c r="AB49" s="67"/>
      <c r="AC49" s="67"/>
      <c r="AD49" s="151"/>
    </row>
    <row r="50" spans="2:30">
      <c r="B50" s="166"/>
      <c r="C50" s="173"/>
      <c r="D50" s="103"/>
      <c r="E50" s="104"/>
      <c r="F50" s="103"/>
      <c r="G50" s="105">
        <f t="shared" si="5"/>
        <v>0</v>
      </c>
      <c r="H50" s="143"/>
      <c r="I50" s="103"/>
      <c r="J50" s="97" t="str">
        <f t="shared" si="6"/>
        <v/>
      </c>
      <c r="K50" s="303" t="str">
        <f>IF(I50="","",_xlfn.XLOOKUP(G50,'Emission Factors'!$M$138:$M$170,'Emission Factors'!$U$138:$U$170))</f>
        <v/>
      </c>
      <c r="L50" s="329" t="str">
        <f>IF(K50="","",INDEX(Conversions!$C$14:$D$15,MATCH('V1 - Refrigerants'!J50,Conversions!$B$14:$B$15,0),MATCH('V1 - Refrigerants'!K50,Conversions!$C$13:$D$13,0)))</f>
        <v/>
      </c>
      <c r="M50" s="328" t="str">
        <f>IF(I50="","",_xlfn.XLOOKUP(G50,'Emission Factors'!$M$138:$M$170,'Emission Factors'!$O$138:$O$170)*L50)</f>
        <v/>
      </c>
      <c r="N50" s="305" t="str">
        <f t="shared" si="7"/>
        <v/>
      </c>
      <c r="O50" s="144" t="str">
        <f t="shared" si="9"/>
        <v/>
      </c>
      <c r="P50" s="303" t="str">
        <f>IF(I50="","",_xlfn.XLOOKUP(G50,'Emission Factors'!$M:$M,'Emission Factors'!$P:$P))</f>
        <v/>
      </c>
      <c r="Q50" s="147"/>
      <c r="R50" s="67"/>
      <c r="S50" s="67"/>
      <c r="T50" s="67"/>
      <c r="U50" s="67"/>
      <c r="V50" s="67"/>
      <c r="W50" s="67"/>
      <c r="X50" s="67"/>
      <c r="Y50" s="67"/>
      <c r="Z50" s="67"/>
      <c r="AA50" s="67"/>
      <c r="AB50" s="67"/>
      <c r="AC50" s="67"/>
      <c r="AD50" s="151"/>
    </row>
    <row r="51" spans="2:30">
      <c r="B51" s="166"/>
      <c r="C51" s="173"/>
      <c r="D51" s="103"/>
      <c r="E51" s="104"/>
      <c r="F51" s="103"/>
      <c r="G51" s="105">
        <f t="shared" si="5"/>
        <v>0</v>
      </c>
      <c r="H51" s="143"/>
      <c r="I51" s="103"/>
      <c r="J51" s="97" t="str">
        <f t="shared" si="6"/>
        <v/>
      </c>
      <c r="K51" s="303" t="str">
        <f>IF(I51="","",_xlfn.XLOOKUP(G51,'Emission Factors'!$M$138:$M$170,'Emission Factors'!$U$138:$U$170))</f>
        <v/>
      </c>
      <c r="L51" s="329" t="str">
        <f>IF(K51="","",INDEX(Conversions!$C$14:$D$15,MATCH('V1 - Refrigerants'!J51,Conversions!$B$14:$B$15,0),MATCH('V1 - Refrigerants'!K51,Conversions!$C$13:$D$13,0)))</f>
        <v/>
      </c>
      <c r="M51" s="328" t="str">
        <f>IF(I51="","",_xlfn.XLOOKUP(G51,'Emission Factors'!$M$138:$M$170,'Emission Factors'!$O$138:$O$170)*L51)</f>
        <v/>
      </c>
      <c r="N51" s="305" t="str">
        <f t="shared" si="7"/>
        <v/>
      </c>
      <c r="O51" s="144" t="str">
        <f t="shared" si="9"/>
        <v/>
      </c>
      <c r="P51" s="303" t="str">
        <f>IF(I51="","",_xlfn.XLOOKUP(G51,'Emission Factors'!$M:$M,'Emission Factors'!$P:$P))</f>
        <v/>
      </c>
      <c r="Q51" s="147"/>
      <c r="R51" s="67"/>
      <c r="S51" s="67"/>
      <c r="T51" s="67"/>
      <c r="U51" s="67"/>
      <c r="V51" s="67"/>
      <c r="W51" s="67"/>
      <c r="X51" s="67"/>
      <c r="Y51" s="67"/>
      <c r="Z51" s="67"/>
      <c r="AA51" s="67"/>
      <c r="AB51" s="67"/>
      <c r="AC51" s="67"/>
      <c r="AD51" s="151"/>
    </row>
    <row r="52" spans="2:30">
      <c r="B52" s="166"/>
      <c r="C52" s="173"/>
      <c r="D52" s="103"/>
      <c r="E52" s="104"/>
      <c r="F52" s="103"/>
      <c r="G52" s="105">
        <f t="shared" si="5"/>
        <v>0</v>
      </c>
      <c r="H52" s="143"/>
      <c r="I52" s="103"/>
      <c r="J52" s="97" t="str">
        <f t="shared" si="6"/>
        <v/>
      </c>
      <c r="K52" s="303" t="str">
        <f>IF(I52="","",_xlfn.XLOOKUP(G52,'Emission Factors'!$M$138:$M$170,'Emission Factors'!$U$138:$U$170))</f>
        <v/>
      </c>
      <c r="L52" s="329" t="str">
        <f>IF(K52="","",INDEX(Conversions!$C$14:$D$15,MATCH('V1 - Refrigerants'!J52,Conversions!$B$14:$B$15,0),MATCH('V1 - Refrigerants'!K52,Conversions!$C$13:$D$13,0)))</f>
        <v/>
      </c>
      <c r="M52" s="328" t="str">
        <f>IF(I52="","",_xlfn.XLOOKUP(G52,'Emission Factors'!$M$138:$M$170,'Emission Factors'!$O$138:$O$170)*L52)</f>
        <v/>
      </c>
      <c r="N52" s="305" t="str">
        <f t="shared" si="7"/>
        <v/>
      </c>
      <c r="O52" s="144" t="str">
        <f t="shared" si="9"/>
        <v/>
      </c>
      <c r="P52" s="303" t="str">
        <f>IF(I52="","",_xlfn.XLOOKUP(G52,'Emission Factors'!$M:$M,'Emission Factors'!$P:$P))</f>
        <v/>
      </c>
      <c r="Q52" s="147"/>
      <c r="R52" s="67"/>
      <c r="S52" s="67"/>
      <c r="T52" s="67"/>
      <c r="U52" s="67"/>
      <c r="V52" s="67"/>
      <c r="W52" s="67"/>
      <c r="X52" s="67"/>
      <c r="Y52" s="67"/>
      <c r="Z52" s="67"/>
      <c r="AA52" s="67"/>
      <c r="AB52" s="67"/>
      <c r="AC52" s="67"/>
      <c r="AD52" s="151"/>
    </row>
    <row r="53" spans="2:30">
      <c r="B53" s="166"/>
      <c r="C53" s="173"/>
      <c r="D53" s="103"/>
      <c r="E53" s="104"/>
      <c r="F53" s="103"/>
      <c r="G53" s="105">
        <f t="shared" si="5"/>
        <v>0</v>
      </c>
      <c r="H53" s="143"/>
      <c r="I53" s="103"/>
      <c r="J53" s="97" t="str">
        <f t="shared" si="6"/>
        <v/>
      </c>
      <c r="K53" s="303" t="str">
        <f>IF(I53="","",_xlfn.XLOOKUP(G53,'Emission Factors'!$M$138:$M$170,'Emission Factors'!$U$138:$U$170))</f>
        <v/>
      </c>
      <c r="L53" s="329" t="str">
        <f>IF(K53="","",INDEX(Conversions!$C$14:$D$15,MATCH('V1 - Refrigerants'!J53,Conversions!$B$14:$B$15,0),MATCH('V1 - Refrigerants'!K53,Conversions!$C$13:$D$13,0)))</f>
        <v/>
      </c>
      <c r="M53" s="328" t="str">
        <f>IF(I53="","",_xlfn.XLOOKUP(G53,'Emission Factors'!$M$138:$M$170,'Emission Factors'!$O$138:$O$170)*L53)</f>
        <v/>
      </c>
      <c r="N53" s="305" t="str">
        <f t="shared" si="7"/>
        <v/>
      </c>
      <c r="O53" s="144" t="str">
        <f t="shared" si="9"/>
        <v/>
      </c>
      <c r="P53" s="303" t="str">
        <f>IF(I53="","",_xlfn.XLOOKUP(G53,'Emission Factors'!$M:$M,'Emission Factors'!$P:$P))</f>
        <v/>
      </c>
      <c r="Q53" s="147"/>
      <c r="R53" s="67"/>
      <c r="S53" s="67"/>
      <c r="T53" s="67"/>
      <c r="U53" s="67"/>
      <c r="V53" s="67"/>
      <c r="W53" s="67"/>
      <c r="X53" s="67"/>
      <c r="Y53" s="67"/>
      <c r="Z53" s="67"/>
      <c r="AA53" s="67"/>
      <c r="AB53" s="67"/>
      <c r="AC53" s="67"/>
      <c r="AD53" s="151"/>
    </row>
    <row r="54" spans="2:30">
      <c r="B54" s="166"/>
      <c r="C54" s="173"/>
      <c r="D54" s="103"/>
      <c r="E54" s="146"/>
      <c r="F54" s="103"/>
      <c r="G54" s="105">
        <f t="shared" si="5"/>
        <v>0</v>
      </c>
      <c r="H54" s="148"/>
      <c r="I54" s="103"/>
      <c r="J54" s="97" t="str">
        <f t="shared" si="6"/>
        <v/>
      </c>
      <c r="K54" s="303" t="str">
        <f>IF(I54="","",_xlfn.XLOOKUP(G54,'Emission Factors'!$M$138:$M$170,'Emission Factors'!$U$138:$U$170))</f>
        <v/>
      </c>
      <c r="L54" s="329" t="str">
        <f>IF(K54="","",INDEX(Conversions!$C$14:$D$15,MATCH('V1 - Refrigerants'!J54,Conversions!$B$14:$B$15,0),MATCH('V1 - Refrigerants'!K54,Conversions!$C$13:$D$13,0)))</f>
        <v/>
      </c>
      <c r="M54" s="328" t="str">
        <f>IF(I54="","",_xlfn.XLOOKUP(G54,'Emission Factors'!$M$138:$M$170,'Emission Factors'!$O$138:$O$170)*L54)</f>
        <v/>
      </c>
      <c r="N54" s="305" t="str">
        <f t="shared" si="7"/>
        <v/>
      </c>
      <c r="O54" s="144" t="str">
        <f t="shared" si="9"/>
        <v/>
      </c>
      <c r="P54" s="303" t="str">
        <f>IF(I54="","",_xlfn.XLOOKUP(G54,'Emission Factors'!$M:$M,'Emission Factors'!$P:$P))</f>
        <v/>
      </c>
      <c r="Q54" s="147"/>
      <c r="R54" s="67"/>
      <c r="S54" s="67"/>
      <c r="T54" s="67"/>
      <c r="U54" s="67"/>
      <c r="V54" s="67"/>
      <c r="W54" s="67"/>
      <c r="X54" s="67"/>
      <c r="Y54" s="67"/>
      <c r="Z54" s="67"/>
      <c r="AA54" s="67"/>
      <c r="AB54" s="67"/>
      <c r="AC54" s="67"/>
      <c r="AD54" s="151"/>
    </row>
    <row r="55" spans="2:30">
      <c r="B55" s="166"/>
      <c r="C55" s="173"/>
      <c r="D55" s="103"/>
      <c r="E55" s="146"/>
      <c r="F55" s="103"/>
      <c r="G55" s="105">
        <f t="shared" si="5"/>
        <v>0</v>
      </c>
      <c r="H55" s="148"/>
      <c r="I55" s="103"/>
      <c r="J55" s="97" t="str">
        <f t="shared" si="6"/>
        <v/>
      </c>
      <c r="K55" s="303" t="str">
        <f>IF(I55="","",_xlfn.XLOOKUP(G55,'Emission Factors'!$M$138:$M$170,'Emission Factors'!$U$138:$U$170))</f>
        <v/>
      </c>
      <c r="L55" s="329" t="str">
        <f>IF(K55="","",INDEX(Conversions!$C$14:$D$15,MATCH('V1 - Refrigerants'!J55,Conversions!$B$14:$B$15,0),MATCH('V1 - Refrigerants'!K55,Conversions!$C$13:$D$13,0)))</f>
        <v/>
      </c>
      <c r="M55" s="328" t="str">
        <f>IF(I55="","",_xlfn.XLOOKUP(G55,'Emission Factors'!$M$138:$M$170,'Emission Factors'!$O$138:$O$170)*L55)</f>
        <v/>
      </c>
      <c r="N55" s="305" t="str">
        <f t="shared" si="7"/>
        <v/>
      </c>
      <c r="O55" s="144" t="str">
        <f t="shared" si="9"/>
        <v/>
      </c>
      <c r="P55" s="303" t="str">
        <f>IF(I55="","",_xlfn.XLOOKUP(G55,'Emission Factors'!$M:$M,'Emission Factors'!$P:$P))</f>
        <v/>
      </c>
      <c r="Q55" s="147"/>
      <c r="R55" s="67"/>
      <c r="S55" s="67"/>
      <c r="T55" s="67"/>
      <c r="U55" s="67"/>
      <c r="V55" s="67"/>
      <c r="W55" s="67"/>
      <c r="X55" s="67"/>
      <c r="Y55" s="67"/>
      <c r="Z55" s="67"/>
      <c r="AA55" s="67"/>
      <c r="AB55" s="67"/>
      <c r="AC55" s="67"/>
      <c r="AD55" s="151"/>
    </row>
    <row r="56" spans="2:30">
      <c r="B56" s="166"/>
      <c r="C56" s="173"/>
      <c r="D56" s="103"/>
      <c r="E56" s="146"/>
      <c r="F56" s="103"/>
      <c r="G56" s="105">
        <f t="shared" ref="G56:G60" si="10">F56</f>
        <v>0</v>
      </c>
      <c r="H56" s="148"/>
      <c r="I56" s="103"/>
      <c r="J56" s="97" t="str">
        <f t="shared" si="6"/>
        <v/>
      </c>
      <c r="K56" s="303" t="str">
        <f>IF(I56="","",_xlfn.XLOOKUP(G56,'Emission Factors'!$M$138:$M$170,'Emission Factors'!$U$138:$U$170))</f>
        <v/>
      </c>
      <c r="L56" s="329" t="str">
        <f>IF(K56="","",INDEX(Conversions!$C$14:$D$15,MATCH('V1 - Refrigerants'!J56,Conversions!$B$14:$B$15,0),MATCH('V1 - Refrigerants'!K56,Conversions!$C$13:$D$13,0)))</f>
        <v/>
      </c>
      <c r="M56" s="328" t="str">
        <f>IF(I56="","",_xlfn.XLOOKUP(G56,'Emission Factors'!$M$138:$M$170,'Emission Factors'!$O$138:$O$170)*L56)</f>
        <v/>
      </c>
      <c r="N56" s="305" t="str">
        <f t="shared" si="7"/>
        <v/>
      </c>
      <c r="O56" s="144" t="str">
        <f t="shared" si="9"/>
        <v/>
      </c>
      <c r="P56" s="303" t="str">
        <f>IF(I56="","",_xlfn.XLOOKUP(G56,'Emission Factors'!$M:$M,'Emission Factors'!$P:$P))</f>
        <v/>
      </c>
      <c r="Q56" s="147"/>
      <c r="R56" s="67"/>
      <c r="S56" s="67"/>
      <c r="T56" s="67"/>
      <c r="U56" s="67"/>
      <c r="V56" s="67"/>
      <c r="W56" s="67"/>
      <c r="X56" s="67"/>
      <c r="Y56" s="67"/>
      <c r="Z56" s="67"/>
      <c r="AA56" s="67"/>
      <c r="AB56" s="67"/>
      <c r="AC56" s="67"/>
      <c r="AD56" s="151"/>
    </row>
    <row r="57" spans="2:30">
      <c r="B57" s="166"/>
      <c r="C57" s="173"/>
      <c r="D57" s="103"/>
      <c r="E57" s="146"/>
      <c r="F57" s="103"/>
      <c r="G57" s="105">
        <f t="shared" si="10"/>
        <v>0</v>
      </c>
      <c r="H57" s="148"/>
      <c r="I57" s="103"/>
      <c r="J57" s="97" t="str">
        <f t="shared" si="6"/>
        <v/>
      </c>
      <c r="K57" s="303" t="str">
        <f>IF(I57="","",_xlfn.XLOOKUP(G57,'Emission Factors'!$M$138:$M$170,'Emission Factors'!$U$138:$U$170))</f>
        <v/>
      </c>
      <c r="L57" s="329" t="str">
        <f>IF(K57="","",INDEX(Conversions!$C$14:$D$15,MATCH('V1 - Refrigerants'!J57,Conversions!$B$14:$B$15,0),MATCH('V1 - Refrigerants'!K57,Conversions!$C$13:$D$13,0)))</f>
        <v/>
      </c>
      <c r="M57" s="328" t="str">
        <f>IF(I57="","",_xlfn.XLOOKUP(G57,'Emission Factors'!$M$138:$M$170,'Emission Factors'!$O$138:$O$170)*L57)</f>
        <v/>
      </c>
      <c r="N57" s="305" t="str">
        <f t="shared" si="7"/>
        <v/>
      </c>
      <c r="O57" s="144" t="str">
        <f t="shared" si="9"/>
        <v/>
      </c>
      <c r="P57" s="303" t="str">
        <f>IF(I57="","",_xlfn.XLOOKUP(G57,'Emission Factors'!$M:$M,'Emission Factors'!$P:$P))</f>
        <v/>
      </c>
      <c r="Q57" s="147"/>
      <c r="R57" s="67"/>
      <c r="S57" s="67"/>
      <c r="T57" s="67"/>
      <c r="U57" s="67"/>
      <c r="V57" s="67"/>
      <c r="W57" s="67"/>
      <c r="X57" s="67"/>
      <c r="Y57" s="67"/>
      <c r="Z57" s="67"/>
      <c r="AA57" s="67"/>
      <c r="AB57" s="67"/>
      <c r="AC57" s="67"/>
      <c r="AD57" s="151"/>
    </row>
    <row r="58" spans="2:30">
      <c r="B58" s="166"/>
      <c r="C58" s="173"/>
      <c r="D58" s="103"/>
      <c r="E58" s="146"/>
      <c r="F58" s="103"/>
      <c r="G58" s="105">
        <f t="shared" si="10"/>
        <v>0</v>
      </c>
      <c r="H58" s="148"/>
      <c r="I58" s="103"/>
      <c r="J58" s="97" t="str">
        <f t="shared" si="6"/>
        <v/>
      </c>
      <c r="K58" s="303" t="str">
        <f>IF(I58="","",_xlfn.XLOOKUP(G58,'Emission Factors'!$M$138:$M$170,'Emission Factors'!$U$138:$U$170))</f>
        <v/>
      </c>
      <c r="L58" s="329" t="str">
        <f>IF(K58="","",INDEX(Conversions!$C$14:$D$15,MATCH('V1 - Refrigerants'!J58,Conversions!$B$14:$B$15,0),MATCH('V1 - Refrigerants'!K58,Conversions!$C$13:$D$13,0)))</f>
        <v/>
      </c>
      <c r="M58" s="328" t="str">
        <f>IF(I58="","",_xlfn.XLOOKUP(G58,'Emission Factors'!$M$138:$M$170,'Emission Factors'!$O$138:$O$170)*L58)</f>
        <v/>
      </c>
      <c r="N58" s="305" t="str">
        <f t="shared" si="7"/>
        <v/>
      </c>
      <c r="O58" s="144" t="str">
        <f t="shared" si="9"/>
        <v/>
      </c>
      <c r="P58" s="303" t="str">
        <f>IF(I58="","",_xlfn.XLOOKUP(G58,'Emission Factors'!$M:$M,'Emission Factors'!$P:$P))</f>
        <v/>
      </c>
      <c r="Q58" s="147"/>
      <c r="R58" s="67"/>
      <c r="S58" s="67"/>
      <c r="T58" s="67"/>
      <c r="U58" s="67"/>
      <c r="V58" s="67"/>
      <c r="W58" s="67"/>
      <c r="X58" s="67"/>
      <c r="Y58" s="67"/>
      <c r="Z58" s="67"/>
      <c r="AA58" s="67"/>
      <c r="AB58" s="67"/>
      <c r="AC58" s="67"/>
      <c r="AD58" s="151"/>
    </row>
    <row r="59" spans="2:30">
      <c r="B59" s="166"/>
      <c r="C59" s="173"/>
      <c r="D59" s="103"/>
      <c r="E59" s="146"/>
      <c r="F59" s="103"/>
      <c r="G59" s="105">
        <f t="shared" si="10"/>
        <v>0</v>
      </c>
      <c r="H59" s="148"/>
      <c r="I59" s="103"/>
      <c r="J59" s="97" t="str">
        <f t="shared" si="6"/>
        <v/>
      </c>
      <c r="K59" s="303" t="str">
        <f>IF(I59="","",_xlfn.XLOOKUP(G59,'Emission Factors'!$M$138:$M$170,'Emission Factors'!$U$138:$U$170))</f>
        <v/>
      </c>
      <c r="L59" s="329" t="str">
        <f>IF(K59="","",INDEX(Conversions!$C$14:$D$15,MATCH('V1 - Refrigerants'!J59,Conversions!$B$14:$B$15,0),MATCH('V1 - Refrigerants'!K59,Conversions!$C$13:$D$13,0)))</f>
        <v/>
      </c>
      <c r="M59" s="328" t="str">
        <f>IF(I59="","",_xlfn.XLOOKUP(G59,'Emission Factors'!$M$138:$M$170,'Emission Factors'!$O$138:$O$170)*L59)</f>
        <v/>
      </c>
      <c r="N59" s="305" t="str">
        <f t="shared" si="7"/>
        <v/>
      </c>
      <c r="O59" s="144" t="str">
        <f t="shared" si="9"/>
        <v/>
      </c>
      <c r="P59" s="303" t="str">
        <f>IF(I59="","",_xlfn.XLOOKUP(G59,'Emission Factors'!$M:$M,'Emission Factors'!$P:$P))</f>
        <v/>
      </c>
      <c r="Q59" s="147"/>
      <c r="R59" s="67"/>
      <c r="S59" s="67"/>
      <c r="T59" s="67"/>
      <c r="U59" s="67"/>
      <c r="V59" s="67"/>
      <c r="W59" s="67"/>
      <c r="X59" s="67"/>
      <c r="Y59" s="67"/>
      <c r="Z59" s="67"/>
      <c r="AA59" s="67"/>
      <c r="AB59" s="67"/>
      <c r="AC59" s="67"/>
      <c r="AD59" s="151"/>
    </row>
    <row r="60" spans="2:30">
      <c r="B60" s="166"/>
      <c r="C60" s="173"/>
      <c r="D60" s="103"/>
      <c r="E60" s="146"/>
      <c r="F60" s="103"/>
      <c r="G60" s="105">
        <f t="shared" si="10"/>
        <v>0</v>
      </c>
      <c r="H60" s="148"/>
      <c r="I60" s="103"/>
      <c r="J60" s="97" t="str">
        <f t="shared" si="6"/>
        <v/>
      </c>
      <c r="K60" s="303" t="str">
        <f>IF(I60="","",_xlfn.XLOOKUP(G60,'Emission Factors'!$M$138:$M$170,'Emission Factors'!$U$138:$U$170))</f>
        <v/>
      </c>
      <c r="L60" s="329" t="str">
        <f>IF(K60="","",INDEX(Conversions!$C$14:$D$15,MATCH('V1 - Refrigerants'!J60,Conversions!$B$14:$B$15,0),MATCH('V1 - Refrigerants'!K60,Conversions!$C$13:$D$13,0)))</f>
        <v/>
      </c>
      <c r="M60" s="328" t="str">
        <f>IF(I60="","",_xlfn.XLOOKUP(G60,'Emission Factors'!$M$138:$M$170,'Emission Factors'!$O$138:$O$170)*L60)</f>
        <v/>
      </c>
      <c r="N60" s="305" t="str">
        <f t="shared" si="7"/>
        <v/>
      </c>
      <c r="O60" s="144" t="str">
        <f t="shared" si="9"/>
        <v/>
      </c>
      <c r="P60" s="303" t="str">
        <f>IF(I60="","",_xlfn.XLOOKUP(G60,'Emission Factors'!$M:$M,'Emission Factors'!$P:$P))</f>
        <v/>
      </c>
      <c r="Q60" s="147"/>
      <c r="R60" s="67"/>
      <c r="S60" s="67"/>
      <c r="T60" s="67"/>
      <c r="U60" s="67"/>
      <c r="V60" s="67"/>
      <c r="W60" s="67"/>
      <c r="X60" s="67"/>
      <c r="Y60" s="67"/>
      <c r="Z60" s="67"/>
      <c r="AA60" s="67"/>
      <c r="AB60" s="67"/>
      <c r="AC60" s="67"/>
      <c r="AD60" s="151"/>
    </row>
    <row r="61" spans="2:30">
      <c r="B61" s="166"/>
      <c r="C61" s="173"/>
      <c r="D61" s="118"/>
      <c r="E61" s="118"/>
      <c r="F61" s="118"/>
      <c r="G61" s="118"/>
      <c r="H61" s="118"/>
      <c r="I61" s="118"/>
      <c r="J61" s="118"/>
      <c r="K61" s="118"/>
      <c r="L61" s="118"/>
      <c r="M61" s="118"/>
      <c r="N61" s="118"/>
      <c r="O61" s="118"/>
      <c r="P61" s="118"/>
      <c r="Q61" s="118"/>
      <c r="R61" s="67"/>
      <c r="S61" s="67"/>
      <c r="T61" s="67"/>
      <c r="U61" s="67"/>
      <c r="V61" s="67"/>
      <c r="W61" s="67"/>
      <c r="X61" s="67"/>
      <c r="Y61" s="67"/>
      <c r="Z61" s="67"/>
      <c r="AA61" s="67"/>
      <c r="AB61" s="67"/>
      <c r="AC61" s="67"/>
      <c r="AD61" s="151"/>
    </row>
    <row r="62" spans="2:30" ht="15.75">
      <c r="B62" s="166"/>
      <c r="C62" s="173"/>
      <c r="D62" s="351" t="str">
        <f>'V1 - Fuels (Mobile)'!D62</f>
        <v>Samanlagt</v>
      </c>
      <c r="E62" s="119"/>
      <c r="F62" s="119"/>
      <c r="G62" s="119"/>
      <c r="H62" s="119"/>
      <c r="I62" s="119"/>
      <c r="J62" s="119"/>
      <c r="K62" s="119"/>
      <c r="L62" s="119"/>
      <c r="M62" s="119"/>
      <c r="N62" s="119"/>
      <c r="O62" s="150">
        <f>SUM($O$31:$O$60)</f>
        <v>0</v>
      </c>
      <c r="P62" s="119"/>
      <c r="Q62" s="119"/>
      <c r="R62" s="67"/>
      <c r="S62" s="67"/>
      <c r="T62" s="67"/>
      <c r="U62" s="67"/>
      <c r="V62" s="67"/>
      <c r="W62" s="67"/>
      <c r="X62" s="67"/>
      <c r="Y62" s="67"/>
      <c r="Z62" s="67"/>
      <c r="AA62" s="67"/>
      <c r="AB62" s="67"/>
      <c r="AC62" s="67"/>
      <c r="AD62" s="151"/>
    </row>
    <row r="63" spans="2:30">
      <c r="B63" s="166"/>
      <c r="C63" s="173"/>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1"/>
    </row>
    <row r="64" spans="2:30">
      <c r="B64" s="166"/>
      <c r="C64" s="173"/>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1"/>
    </row>
    <row r="65" spans="2:30">
      <c r="B65" s="166"/>
      <c r="C65" s="173"/>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51"/>
    </row>
    <row r="66" spans="2:30">
      <c r="B66" s="166"/>
      <c r="C66" s="173"/>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51"/>
    </row>
    <row r="67" spans="2:30">
      <c r="B67" s="166"/>
      <c r="C67" s="173"/>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51"/>
    </row>
    <row r="68" spans="2:30">
      <c r="B68" s="166"/>
      <c r="C68" s="173"/>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51"/>
    </row>
    <row r="69" spans="2:30">
      <c r="B69" s="166"/>
      <c r="C69" s="252"/>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253"/>
    </row>
  </sheetData>
  <sheetProtection algorithmName="SHA-512" hashValue="lUNkLrrqmIZk4CDjSN9PPHNlfMdofXVdy7K7nTTQ7HPxDr0OgFmh8vD2o8RO2QA2h9sqMCX2+Q6Dggfg/Bw0iA==" saltValue="Cm8t0jtqUVqAOdPzdIxckg==" spinCount="100000" sheet="1" objects="1" scenarios="1"/>
  <mergeCells count="6">
    <mergeCell ref="D29:Q29"/>
    <mergeCell ref="D15:N20"/>
    <mergeCell ref="D14:N14"/>
    <mergeCell ref="D12:T12"/>
    <mergeCell ref="D4:T11"/>
    <mergeCell ref="D22:Q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4C5F969-8FBC-4E04-9760-F819CFEA25D5}">
          <x14:formula1>
            <xm:f>Dropdown!$U$3:$U$35</xm:f>
          </x14:formula1>
          <xm:sqref>F31:F60 F24:F25</xm:sqref>
        </x14:dataValidation>
        <x14:dataValidation type="list" allowBlank="1" showInputMessage="1" showErrorMessage="1" xr:uid="{1F9B4CF8-EDA5-4816-B249-0F70E153CD46}">
          <x14:formula1>
            <xm:f>Dropdown!$T$3:$T$4</xm:f>
          </x14:formula1>
          <xm:sqref>I24:I25 I31:I60</xm:sqref>
        </x14:dataValidation>
        <x14:dataValidation type="list" allowBlank="1" showInputMessage="1" showErrorMessage="1" xr:uid="{C6A08A45-3148-4838-9FA4-C6F36D7038F8}">
          <x14:formula1>
            <xm:f>'Organisation Details'!$G$33:$G$58</xm:f>
          </x14:formula1>
          <xm:sqref>D31:D60</xm:sqref>
        </x14:dataValidation>
        <x14:dataValidation type="list" allowBlank="1" showInputMessage="1" showErrorMessage="1" xr:uid="{E39FDBCA-8E20-45B5-A7D4-D43DBFCF7416}">
          <x14:formula1>
            <xm:f>Dropdown!$C$3:$C$7</xm:f>
          </x14:formula1>
          <xm:sqref>D24:D25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660B-953D-4D2C-B9F6-43BA86503B8C}">
  <sheetPr codeName="Sheet8">
    <tabColor theme="4" tint="0.39997558519241921"/>
  </sheetPr>
  <dimension ref="A1:AD104"/>
  <sheetViews>
    <sheetView showRowColHeaders="0" topLeftCell="B2" zoomScale="75" zoomScaleNormal="75" workbookViewId="0">
      <selection activeCell="P20" sqref="P20"/>
    </sheetView>
  </sheetViews>
  <sheetFormatPr defaultColWidth="0" defaultRowHeight="14.25" zeroHeight="1"/>
  <cols>
    <col min="1" max="1" width="17.28515625" style="1" hidden="1" customWidth="1"/>
    <col min="2" max="2" width="4.28515625" style="1" customWidth="1"/>
    <col min="3" max="3" width="4.7109375" style="39" customWidth="1"/>
    <col min="4" max="4" width="36.28515625" style="1" customWidth="1"/>
    <col min="5" max="5" width="44.28515625" style="1" customWidth="1"/>
    <col min="6" max="6" width="30.85546875" style="1" customWidth="1"/>
    <col min="7" max="7" width="10.85546875" style="1" hidden="1" customWidth="1"/>
    <col min="8" max="8" width="13.140625" style="1" hidden="1" customWidth="1"/>
    <col min="9" max="9" width="20.85546875" style="1" customWidth="1"/>
    <col min="10" max="10" width="22.140625" style="1" customWidth="1"/>
    <col min="11" max="11" width="22.140625" style="1" hidden="1" customWidth="1"/>
    <col min="12" max="12" width="26.7109375" style="1" hidden="1" customWidth="1"/>
    <col min="13" max="13" width="17.7109375" style="1" hidden="1" customWidth="1"/>
    <col min="14" max="14" width="20.85546875" style="1" customWidth="1"/>
    <col min="15" max="15" width="30.85546875" style="1" customWidth="1"/>
    <col min="16" max="16" width="35.85546875" style="1" customWidth="1"/>
    <col min="17" max="17" width="50.7109375" style="1" customWidth="1"/>
    <col min="18" max="18" width="43.42578125" style="1" customWidth="1"/>
    <col min="19" max="19" width="14" style="1" customWidth="1"/>
    <col min="20" max="22" width="20.7109375" style="1" hidden="1" customWidth="1"/>
    <col min="23" max="23" width="20.7109375" style="1" customWidth="1"/>
    <col min="24" max="24" width="25.85546875" style="1" customWidth="1"/>
    <col min="25" max="25" width="30.7109375" style="1" customWidth="1"/>
    <col min="26" max="26" width="40.7109375" style="1" customWidth="1"/>
    <col min="27" max="29" width="14" style="1" customWidth="1"/>
    <col min="30" max="30" width="14" style="40" customWidth="1"/>
    <col min="31" max="16384" width="14" style="1" hidden="1"/>
  </cols>
  <sheetData>
    <row r="1" spans="1:30" ht="14.1" hidden="1" customHeight="1">
      <c r="C1" s="1"/>
      <c r="D1" s="4"/>
      <c r="E1" s="4"/>
      <c r="F1" s="4"/>
      <c r="G1" s="4"/>
      <c r="H1" s="4"/>
      <c r="I1" s="4"/>
      <c r="J1" s="4"/>
      <c r="K1" s="4"/>
      <c r="L1" s="4"/>
      <c r="M1" s="4"/>
      <c r="N1" s="4"/>
      <c r="O1" s="4"/>
      <c r="P1" s="4"/>
      <c r="Q1" s="4"/>
      <c r="R1" s="4"/>
      <c r="S1" s="4"/>
      <c r="T1" s="4"/>
      <c r="U1" s="4"/>
      <c r="V1" s="4"/>
      <c r="W1" s="4"/>
      <c r="X1" s="4"/>
      <c r="Y1" s="4"/>
      <c r="Z1" s="4"/>
      <c r="AD1" s="1"/>
    </row>
    <row r="2" spans="1:30" ht="13.5" customHeight="1">
      <c r="A2" s="1" t="str">
        <f>Introduction!$E$14</f>
        <v>Føroyskt</v>
      </c>
      <c r="B2" s="6"/>
      <c r="C2" s="4"/>
      <c r="D2" s="4"/>
      <c r="E2" s="4"/>
      <c r="F2" s="4"/>
      <c r="G2" s="4"/>
      <c r="H2" s="4"/>
      <c r="I2" s="4"/>
      <c r="J2" s="4"/>
      <c r="K2" s="4"/>
      <c r="L2" s="4"/>
      <c r="M2" s="4"/>
      <c r="N2" s="4"/>
      <c r="O2" s="4"/>
      <c r="P2" s="4"/>
      <c r="Q2" s="4"/>
      <c r="R2" s="4"/>
      <c r="S2" s="4"/>
      <c r="T2" s="4"/>
      <c r="U2" s="4"/>
      <c r="V2" s="4"/>
      <c r="W2" s="4"/>
      <c r="X2" s="4"/>
      <c r="Y2" s="4"/>
      <c r="Z2" s="4"/>
      <c r="AA2" s="4"/>
      <c r="AB2" s="4"/>
      <c r="AC2" s="4"/>
      <c r="AD2" s="4"/>
    </row>
    <row r="3" spans="1:30">
      <c r="A3" s="3" t="s">
        <v>0</v>
      </c>
      <c r="B3" s="4"/>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37"/>
    </row>
    <row r="4" spans="1:30" ht="5.0999999999999996" customHeight="1">
      <c r="A4" s="1" t="s">
        <v>103</v>
      </c>
      <c r="B4" s="5"/>
      <c r="C4" s="12"/>
      <c r="D4" s="418" t="str">
        <f>IF($A$2="English",_xlfn.XLOOKUP($A$3,Descriptions!$A:$A,Descriptions!$B:$B),_xlfn.XLOOKUP($A$3,Descriptions!$A:$A,Descriptions!$C:$C))</f>
        <v>Føroyskur CO2-roknari. Ár: 2023</v>
      </c>
      <c r="E4" s="418"/>
      <c r="F4" s="418"/>
      <c r="G4" s="418"/>
      <c r="H4" s="418"/>
      <c r="I4" s="418"/>
      <c r="J4" s="418"/>
      <c r="K4" s="418"/>
      <c r="L4" s="418"/>
      <c r="M4" s="418"/>
      <c r="N4" s="418"/>
      <c r="O4" s="418"/>
      <c r="P4" s="418"/>
      <c r="Q4" s="418"/>
      <c r="R4" s="418"/>
      <c r="S4" s="418"/>
      <c r="T4" s="418"/>
      <c r="U4" s="418"/>
      <c r="V4" s="418"/>
      <c r="W4" s="418"/>
      <c r="X4" s="418"/>
      <c r="Y4" s="418"/>
      <c r="Z4" s="418"/>
      <c r="AA4" s="67"/>
      <c r="AB4" s="67"/>
      <c r="AC4" s="67"/>
      <c r="AD4" s="151"/>
    </row>
    <row r="5" spans="1:30" ht="5.0999999999999996" customHeight="1">
      <c r="A5" s="1" t="s">
        <v>228</v>
      </c>
      <c r="B5" s="4"/>
      <c r="C5" s="12"/>
      <c r="D5" s="418"/>
      <c r="E5" s="418"/>
      <c r="F5" s="418"/>
      <c r="G5" s="418"/>
      <c r="H5" s="418"/>
      <c r="I5" s="418"/>
      <c r="J5" s="418"/>
      <c r="K5" s="418"/>
      <c r="L5" s="418"/>
      <c r="M5" s="418"/>
      <c r="N5" s="418"/>
      <c r="O5" s="418"/>
      <c r="P5" s="418"/>
      <c r="Q5" s="418"/>
      <c r="R5" s="418"/>
      <c r="S5" s="418"/>
      <c r="T5" s="418"/>
      <c r="U5" s="418"/>
      <c r="V5" s="418"/>
      <c r="W5" s="418"/>
      <c r="X5" s="418"/>
      <c r="Y5" s="418"/>
      <c r="Z5" s="418"/>
      <c r="AA5" s="67"/>
      <c r="AB5" s="67"/>
      <c r="AC5" s="67"/>
      <c r="AD5" s="151"/>
    </row>
    <row r="6" spans="1:30" ht="5.0999999999999996" customHeight="1">
      <c r="A6" s="1" t="s">
        <v>229</v>
      </c>
      <c r="B6" s="4"/>
      <c r="C6" s="12"/>
      <c r="D6" s="418"/>
      <c r="E6" s="418"/>
      <c r="F6" s="418"/>
      <c r="G6" s="418"/>
      <c r="H6" s="418"/>
      <c r="I6" s="418"/>
      <c r="J6" s="418"/>
      <c r="K6" s="418"/>
      <c r="L6" s="418"/>
      <c r="M6" s="418"/>
      <c r="N6" s="418"/>
      <c r="O6" s="418"/>
      <c r="P6" s="418"/>
      <c r="Q6" s="418"/>
      <c r="R6" s="418"/>
      <c r="S6" s="418"/>
      <c r="T6" s="418"/>
      <c r="U6" s="418"/>
      <c r="V6" s="418"/>
      <c r="W6" s="418"/>
      <c r="X6" s="418"/>
      <c r="Y6" s="418"/>
      <c r="Z6" s="418"/>
      <c r="AA6" s="67"/>
      <c r="AB6" s="67"/>
      <c r="AC6" s="67"/>
      <c r="AD6" s="151"/>
    </row>
    <row r="7" spans="1:30" ht="5.0999999999999996" customHeight="1">
      <c r="A7" s="1" t="s">
        <v>131</v>
      </c>
      <c r="B7" s="4"/>
      <c r="C7" s="12"/>
      <c r="D7" s="418"/>
      <c r="E7" s="418"/>
      <c r="F7" s="418"/>
      <c r="G7" s="418"/>
      <c r="H7" s="418"/>
      <c r="I7" s="418"/>
      <c r="J7" s="418"/>
      <c r="K7" s="418"/>
      <c r="L7" s="418"/>
      <c r="M7" s="418"/>
      <c r="N7" s="418"/>
      <c r="O7" s="418"/>
      <c r="P7" s="418"/>
      <c r="Q7" s="418"/>
      <c r="R7" s="418"/>
      <c r="S7" s="418"/>
      <c r="T7" s="418"/>
      <c r="U7" s="418"/>
      <c r="V7" s="418"/>
      <c r="W7" s="418"/>
      <c r="X7" s="418"/>
      <c r="Y7" s="418"/>
      <c r="Z7" s="418"/>
      <c r="AA7" s="67"/>
      <c r="AB7" s="67"/>
      <c r="AC7" s="67"/>
      <c r="AD7" s="151"/>
    </row>
    <row r="8" spans="1:30" ht="5.0999999999999996" customHeight="1">
      <c r="A8" s="1" t="s">
        <v>168</v>
      </c>
      <c r="B8" s="4"/>
      <c r="C8" s="12"/>
      <c r="D8" s="418"/>
      <c r="E8" s="418"/>
      <c r="F8" s="418"/>
      <c r="G8" s="418"/>
      <c r="H8" s="418"/>
      <c r="I8" s="418"/>
      <c r="J8" s="418"/>
      <c r="K8" s="418"/>
      <c r="L8" s="418"/>
      <c r="M8" s="418"/>
      <c r="N8" s="418"/>
      <c r="O8" s="418"/>
      <c r="P8" s="418"/>
      <c r="Q8" s="418"/>
      <c r="R8" s="418"/>
      <c r="S8" s="418"/>
      <c r="T8" s="418"/>
      <c r="U8" s="418"/>
      <c r="V8" s="418"/>
      <c r="W8" s="418"/>
      <c r="X8" s="418"/>
      <c r="Y8" s="418"/>
      <c r="Z8" s="418"/>
      <c r="AA8" s="67"/>
      <c r="AB8" s="67"/>
      <c r="AC8" s="67"/>
      <c r="AD8" s="151"/>
    </row>
    <row r="9" spans="1:30" ht="5.0999999999999996" customHeight="1">
      <c r="A9" s="1" t="s">
        <v>169</v>
      </c>
      <c r="B9" s="4"/>
      <c r="C9" s="12"/>
      <c r="D9" s="418"/>
      <c r="E9" s="418"/>
      <c r="F9" s="418"/>
      <c r="G9" s="418"/>
      <c r="H9" s="418"/>
      <c r="I9" s="418"/>
      <c r="J9" s="418"/>
      <c r="K9" s="418"/>
      <c r="L9" s="418"/>
      <c r="M9" s="418"/>
      <c r="N9" s="418"/>
      <c r="O9" s="418"/>
      <c r="P9" s="418"/>
      <c r="Q9" s="418"/>
      <c r="R9" s="418"/>
      <c r="S9" s="418"/>
      <c r="T9" s="418"/>
      <c r="U9" s="418"/>
      <c r="V9" s="418"/>
      <c r="W9" s="418"/>
      <c r="X9" s="418"/>
      <c r="Y9" s="418"/>
      <c r="Z9" s="418"/>
      <c r="AA9" s="67"/>
      <c r="AB9" s="67"/>
      <c r="AC9" s="67"/>
      <c r="AD9" s="151"/>
    </row>
    <row r="10" spans="1:30" ht="5.0999999999999996" customHeight="1">
      <c r="A10" s="1" t="s">
        <v>170</v>
      </c>
      <c r="B10" s="4"/>
      <c r="C10" s="12"/>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67"/>
      <c r="AB10" s="67"/>
      <c r="AC10" s="67"/>
      <c r="AD10" s="151"/>
    </row>
    <row r="11" spans="1:30" ht="5.0999999999999996" customHeight="1">
      <c r="A11" s="1" t="s">
        <v>171</v>
      </c>
      <c r="B11" s="4"/>
      <c r="C11" s="12"/>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67"/>
      <c r="AB11" s="67"/>
      <c r="AC11" s="67"/>
      <c r="AD11" s="151"/>
    </row>
    <row r="12" spans="1:30" ht="99.95" customHeight="1">
      <c r="A12" s="1" t="s">
        <v>172</v>
      </c>
      <c r="B12" s="4"/>
      <c r="C12" s="12"/>
      <c r="D12" s="419" t="str">
        <f>IF($A$2="English",_xlfn.XLOOKUP($A$4,Descriptions!$A:$A,Descriptions!$B:$B),_xlfn.XLOOKUP($A$4,Descriptions!$A:$A,Descriptions!$C:$C))</f>
        <v>V2 - Keypt el</v>
      </c>
      <c r="E12" s="419"/>
      <c r="F12" s="419"/>
      <c r="G12" s="419"/>
      <c r="H12" s="419"/>
      <c r="I12" s="419"/>
      <c r="J12" s="419"/>
      <c r="K12" s="419"/>
      <c r="L12" s="419"/>
      <c r="M12" s="419"/>
      <c r="N12" s="419"/>
      <c r="O12" s="419"/>
      <c r="P12" s="419"/>
      <c r="Q12" s="419"/>
      <c r="R12" s="419"/>
      <c r="S12" s="419"/>
      <c r="T12" s="419"/>
      <c r="U12" s="419"/>
      <c r="V12" s="419"/>
      <c r="W12" s="419"/>
      <c r="X12" s="419"/>
      <c r="Y12" s="419"/>
      <c r="Z12" s="419"/>
      <c r="AA12" s="67"/>
      <c r="AB12" s="67"/>
      <c r="AC12" s="67"/>
      <c r="AD12" s="151"/>
    </row>
    <row r="13" spans="1:30">
      <c r="A13" s="1" t="s">
        <v>173</v>
      </c>
      <c r="B13" s="4"/>
      <c r="C13" s="12"/>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1"/>
    </row>
    <row r="14" spans="1:30" ht="30" customHeight="1">
      <c r="A14" s="1" t="s">
        <v>175</v>
      </c>
      <c r="B14" s="4"/>
      <c r="C14" s="12"/>
      <c r="D14" s="437" t="str">
        <f>IF($A$2="English",_xlfn.XLOOKUP($A$7,Descriptions!$A:$A,Descriptions!$B:$B),_xlfn.XLOOKUP($A$7,Descriptions!$A:$A,Descriptions!$C:$C))</f>
        <v>Vegleiðing</v>
      </c>
      <c r="E14" s="437"/>
      <c r="F14" s="437"/>
      <c r="G14" s="437"/>
      <c r="H14" s="437"/>
      <c r="I14" s="437"/>
      <c r="J14" s="437"/>
      <c r="K14" s="437"/>
      <c r="L14" s="437"/>
      <c r="M14" s="437"/>
      <c r="N14" s="437"/>
      <c r="O14" s="348"/>
      <c r="P14" s="347" t="str">
        <f>'V1 - Refrigerants'!P14</f>
        <v>Key</v>
      </c>
      <c r="Q14" s="67"/>
      <c r="R14" s="67"/>
      <c r="S14" s="67"/>
      <c r="T14" s="67"/>
      <c r="U14" s="67"/>
      <c r="V14" s="67"/>
      <c r="W14" s="67"/>
      <c r="X14" s="67"/>
      <c r="Y14" s="67"/>
      <c r="Z14" s="67"/>
      <c r="AA14" s="67"/>
      <c r="AB14" s="67"/>
      <c r="AC14" s="67"/>
      <c r="AD14" s="151"/>
    </row>
    <row r="15" spans="1:30" ht="14.1" customHeight="1">
      <c r="A15" s="1" t="s">
        <v>176</v>
      </c>
      <c r="B15" s="4"/>
      <c r="C15" s="12"/>
      <c r="D15" s="424" t="str">
        <f>IF($A$2="English",_xlfn.XLOOKUP($A$5,Descriptions!$A:$A,Descriptions!$B:$B),_xlfn.XLOOKUP($A$5,Descriptions!$A:$A,Descriptions!$C:$C))</f>
        <v xml:space="preserve">Vav 2 - Keypt el fevnir um el, ið er keypt frá SEV til nýtslu. Brúkarin skal savna dátur um elnýtslu í fasilitetum/ognum fyritøkunnar.
Kravdar dátur:
• Fasilitetur/ogn og staðseting (har el verður nýtt)
• Virksemi (sum nýtir el)
• Elframleiðandi kelda (um ókent, vel 'Default Faroese Weighted Average').
• Elnýtsla
• Eind fyri el
Gev gætur: útlát frá 'Well-To-tank' (WTT) og frá flutningi av og -veiting av el (T&amp;D) verður roknað út sjálvvirkið í talvuni 'Virksemi tengt at brennievni og orku'.
</v>
      </c>
      <c r="E15" s="424"/>
      <c r="F15" s="424"/>
      <c r="G15" s="424"/>
      <c r="H15" s="424"/>
      <c r="I15" s="424"/>
      <c r="J15" s="424"/>
      <c r="K15" s="424"/>
      <c r="L15" s="424"/>
      <c r="M15" s="424"/>
      <c r="N15" s="424"/>
      <c r="O15" s="67"/>
      <c r="P15" s="81" t="str">
        <f>'V1 - Refrigerants'!P15</f>
        <v>Dátuíkast - Fallmynd</v>
      </c>
      <c r="Q15" s="94"/>
      <c r="R15" s="67"/>
      <c r="S15" s="67"/>
      <c r="T15" s="67"/>
      <c r="U15" s="67"/>
      <c r="V15" s="67"/>
      <c r="W15" s="67"/>
      <c r="X15" s="67"/>
      <c r="Y15" s="67"/>
      <c r="Z15" s="67"/>
      <c r="AA15" s="67"/>
      <c r="AB15" s="67"/>
      <c r="AC15" s="67"/>
      <c r="AD15" s="151"/>
    </row>
    <row r="16" spans="1:30" ht="14.1" customHeight="1">
      <c r="A16" s="1" t="s">
        <v>177</v>
      </c>
      <c r="B16" s="4"/>
      <c r="C16" s="12"/>
      <c r="D16" s="424"/>
      <c r="E16" s="424"/>
      <c r="F16" s="424"/>
      <c r="G16" s="424"/>
      <c r="H16" s="424"/>
      <c r="I16" s="424"/>
      <c r="J16" s="424"/>
      <c r="K16" s="424"/>
      <c r="L16" s="424"/>
      <c r="M16" s="424"/>
      <c r="N16" s="424"/>
      <c r="O16" s="67"/>
      <c r="P16" s="82" t="str">
        <f>'V1 - Refrigerants'!P16</f>
        <v>Dátuíkast - Tøppa inn</v>
      </c>
      <c r="Q16" s="94"/>
      <c r="R16" s="94"/>
      <c r="S16" s="67"/>
      <c r="T16" s="67"/>
      <c r="U16" s="67"/>
      <c r="V16" s="67"/>
      <c r="W16" s="67"/>
      <c r="X16" s="67"/>
      <c r="Y16" s="67"/>
      <c r="Z16" s="67"/>
      <c r="AA16" s="67"/>
      <c r="AB16" s="67"/>
      <c r="AC16" s="67"/>
      <c r="AD16" s="151"/>
    </row>
    <row r="17" spans="1:30" ht="14.1" customHeight="1">
      <c r="A17" s="1" t="s">
        <v>178</v>
      </c>
      <c r="B17" s="4"/>
      <c r="C17" s="12"/>
      <c r="D17" s="424"/>
      <c r="E17" s="424"/>
      <c r="F17" s="424"/>
      <c r="G17" s="424"/>
      <c r="H17" s="424"/>
      <c r="I17" s="424"/>
      <c r="J17" s="424"/>
      <c r="K17" s="424"/>
      <c r="L17" s="424"/>
      <c r="M17" s="424"/>
      <c r="N17" s="424"/>
      <c r="O17" s="67"/>
      <c r="P17" s="302" t="str">
        <f>'V1 - Refrigerants'!P17</f>
        <v>Leiting (fastløst)</v>
      </c>
      <c r="Q17" s="94"/>
      <c r="R17" s="94"/>
      <c r="S17" s="67"/>
      <c r="T17" s="67"/>
      <c r="U17" s="67"/>
      <c r="V17" s="67"/>
      <c r="W17" s="67"/>
      <c r="X17" s="67"/>
      <c r="Y17" s="67"/>
      <c r="Z17" s="67"/>
      <c r="AA17" s="67"/>
      <c r="AB17" s="67"/>
      <c r="AC17" s="67"/>
      <c r="AD17" s="151"/>
    </row>
    <row r="18" spans="1:30" ht="14.1" customHeight="1">
      <c r="A18" s="1" t="s">
        <v>179</v>
      </c>
      <c r="B18" s="4"/>
      <c r="C18" s="12"/>
      <c r="D18" s="424"/>
      <c r="E18" s="424"/>
      <c r="F18" s="424"/>
      <c r="G18" s="424"/>
      <c r="H18" s="424"/>
      <c r="I18" s="424"/>
      <c r="J18" s="424"/>
      <c r="K18" s="424"/>
      <c r="L18" s="424"/>
      <c r="M18" s="424"/>
      <c r="N18" s="424"/>
      <c r="O18" s="67"/>
      <c r="P18" s="83" t="str">
        <f>'V1 - Refrigerants'!P18</f>
        <v>Útrokning</v>
      </c>
      <c r="Q18" s="94"/>
      <c r="R18" s="94"/>
      <c r="S18" s="67"/>
      <c r="T18" s="67"/>
      <c r="U18" s="67"/>
      <c r="V18" s="67"/>
      <c r="W18" s="67"/>
      <c r="X18" s="67"/>
      <c r="Y18" s="67"/>
      <c r="Z18" s="67"/>
      <c r="AA18" s="67"/>
      <c r="AB18" s="67"/>
      <c r="AC18" s="67"/>
      <c r="AD18" s="151"/>
    </row>
    <row r="19" spans="1:30" ht="69.95" customHeight="1">
      <c r="A19" s="1" t="s">
        <v>180</v>
      </c>
      <c r="B19" s="4"/>
      <c r="C19" s="12"/>
      <c r="D19" s="424"/>
      <c r="E19" s="424"/>
      <c r="F19" s="424"/>
      <c r="G19" s="424"/>
      <c r="H19" s="424"/>
      <c r="I19" s="424"/>
      <c r="J19" s="424"/>
      <c r="K19" s="424"/>
      <c r="L19" s="424"/>
      <c r="M19" s="424"/>
      <c r="N19" s="424"/>
      <c r="O19" s="67"/>
      <c r="P19" s="152"/>
      <c r="Q19" s="94"/>
      <c r="R19" s="94"/>
      <c r="S19" s="67"/>
      <c r="T19" s="67"/>
      <c r="U19" s="67"/>
      <c r="V19" s="67"/>
      <c r="W19" s="67"/>
      <c r="X19" s="67"/>
      <c r="Y19" s="67"/>
      <c r="Z19" s="67"/>
      <c r="AA19" s="67"/>
      <c r="AB19" s="67"/>
      <c r="AC19" s="67"/>
      <c r="AD19" s="151"/>
    </row>
    <row r="20" spans="1:30" ht="69.95" customHeight="1">
      <c r="A20" s="1" t="s">
        <v>181</v>
      </c>
      <c r="B20" s="4"/>
      <c r="C20" s="12"/>
      <c r="D20" s="424"/>
      <c r="E20" s="424"/>
      <c r="F20" s="424"/>
      <c r="G20" s="424"/>
      <c r="H20" s="424"/>
      <c r="I20" s="424"/>
      <c r="J20" s="424"/>
      <c r="K20" s="424"/>
      <c r="L20" s="424"/>
      <c r="M20" s="424"/>
      <c r="N20" s="424"/>
      <c r="O20" s="67"/>
      <c r="P20" s="67"/>
      <c r="Q20" s="94"/>
      <c r="R20" s="94"/>
      <c r="S20" s="67"/>
      <c r="T20" s="67"/>
      <c r="U20" s="67"/>
      <c r="V20" s="67"/>
      <c r="W20" s="67"/>
      <c r="X20" s="67"/>
      <c r="Y20" s="67"/>
      <c r="Z20" s="67"/>
      <c r="AA20" s="67"/>
      <c r="AB20" s="67"/>
      <c r="AC20" s="67"/>
      <c r="AD20" s="151"/>
    </row>
    <row r="21" spans="1:30" ht="15.6" customHeight="1">
      <c r="A21" s="1" t="s">
        <v>182</v>
      </c>
      <c r="B21" s="4"/>
      <c r="C21" s="12"/>
      <c r="D21" s="67"/>
      <c r="E21" s="67"/>
      <c r="F21" s="67"/>
      <c r="G21" s="67"/>
      <c r="H21" s="67"/>
      <c r="I21" s="67"/>
      <c r="J21" s="67"/>
      <c r="K21" s="67"/>
      <c r="L21" s="67"/>
      <c r="M21" s="67"/>
      <c r="N21" s="67"/>
      <c r="O21" s="67"/>
      <c r="P21" s="67"/>
      <c r="Q21" s="67"/>
      <c r="R21" s="67"/>
      <c r="S21" s="67"/>
      <c r="T21" s="71"/>
      <c r="U21" s="71"/>
      <c r="V21" s="71"/>
      <c r="W21" s="71"/>
      <c r="X21" s="71"/>
      <c r="Y21" s="71"/>
      <c r="Z21" s="71"/>
      <c r="AA21" s="67"/>
      <c r="AB21" s="67"/>
      <c r="AC21" s="67"/>
      <c r="AD21" s="151"/>
    </row>
    <row r="22" spans="1:30" ht="30" customHeight="1">
      <c r="A22" s="1" t="s">
        <v>183</v>
      </c>
      <c r="B22" s="4"/>
      <c r="C22" s="12"/>
      <c r="D22" s="438" t="str">
        <f>IF($A$2="English",_xlfn.XLOOKUP($A$27,Descriptions!$A:$A,Descriptions!$B:$B),_xlfn.XLOOKUP($A$27,Descriptions!$A:$A,Descriptions!$C:$C))</f>
        <v>Dømi</v>
      </c>
      <c r="E22" s="438"/>
      <c r="F22" s="438"/>
      <c r="G22" s="438"/>
      <c r="H22" s="438"/>
      <c r="I22" s="438"/>
      <c r="J22" s="438"/>
      <c r="K22" s="438"/>
      <c r="L22" s="438"/>
      <c r="M22" s="438"/>
      <c r="N22" s="438"/>
      <c r="O22" s="438"/>
      <c r="P22" s="438"/>
      <c r="Q22" s="438"/>
      <c r="R22" s="438"/>
      <c r="S22" s="67"/>
      <c r="T22" s="452" t="str">
        <f>IF($A$2="English",_xlfn.XLOOKUP($A$24,Descriptions!$A:$A,Descriptions!$B:$B),_xlfn.XLOOKUP($A$24,Descriptions!$A:$A,Descriptions!$C:$C))</f>
        <v>Vav 3 - Virksemi tengt at brennievni og orku</v>
      </c>
      <c r="U22" s="452"/>
      <c r="V22" s="452"/>
      <c r="W22" s="452"/>
      <c r="X22" s="452"/>
      <c r="Y22" s="452"/>
      <c r="Z22" s="452"/>
      <c r="AA22" s="67"/>
      <c r="AB22" s="67"/>
      <c r="AC22" s="67"/>
      <c r="AD22" s="151"/>
    </row>
    <row r="23" spans="1:30" ht="30" customHeight="1">
      <c r="A23" s="1" t="s">
        <v>199</v>
      </c>
      <c r="B23" s="4"/>
      <c r="C23" s="12"/>
      <c r="D23" s="307" t="str">
        <f>IF($A$2="English",_xlfn.XLOOKUP($A$8,Descriptions!$A:$A,Descriptions!$B:$B),_xlfn.XLOOKUP($A$8,Descriptions!$A:$A,Descriptions!$C:$C))</f>
        <v>Fasilitetur/Ogn og staðseting</v>
      </c>
      <c r="E23" s="307" t="str">
        <f>IF($A$2="English",_xlfn.XLOOKUP($A$9,Descriptions!$A:$A,Descriptions!$B:$B),_xlfn.XLOOKUP($A$9,Descriptions!$A:$A,Descriptions!$C:$C))</f>
        <v>Virksemi</v>
      </c>
      <c r="F23" s="307" t="str">
        <f>IF($A$2="English",_xlfn.XLOOKUP($A$6,Descriptions!$A:$A,Descriptions!$B:$B),_xlfn.XLOOKUP($A$6,Descriptions!$A:$A,Descriptions!$C:$C))</f>
        <v>Elkelda</v>
      </c>
      <c r="G23" s="307" t="s">
        <v>230</v>
      </c>
      <c r="H23" s="307" t="s">
        <v>185</v>
      </c>
      <c r="I23" s="307" t="str">
        <f>IF($A$2="English",_xlfn.XLOOKUP($A$13,Descriptions!$A:$A,Descriptions!$B:$B),_xlfn.XLOOKUP($A$13,Descriptions!$A:$A,Descriptions!$C:$C))</f>
        <v>Nøgd</v>
      </c>
      <c r="J23" s="307" t="str">
        <f>IF($A$2="English",_xlfn.XLOOKUP($A$14,Descriptions!$A:$A,Descriptions!$B:$B),_xlfn.XLOOKUP($A$14,Descriptions!$A:$A,Descriptions!$C:$C))</f>
        <v>Eindir</v>
      </c>
      <c r="K23" s="307" t="s">
        <v>186</v>
      </c>
      <c r="L23" s="307" t="s">
        <v>187</v>
      </c>
      <c r="M23" s="307" t="s">
        <v>188</v>
      </c>
      <c r="N23" s="307" t="str">
        <f>IF($A$2="English",_xlfn.XLOOKUP($A$18,Descriptions!$A:$A,Descriptions!$B:$B),_xlfn.XLOOKUP($A$18,Descriptions!$A:$A,Descriptions!$C:$C))</f>
        <v>Útlátsfaktorur</v>
      </c>
      <c r="O23" s="307" t="str">
        <f>IF($A$2="English",_xlfn.XLOOKUP($A$19,Descriptions!$A:$A,Descriptions!$B:$B),_xlfn.XLOOKUP($A$19,Descriptions!$A:$A,Descriptions!$C:$C))</f>
        <v>Útlátsfaktorur Eind</v>
      </c>
      <c r="P23" s="307" t="str">
        <f>IF($A$2="English",_xlfn.XLOOKUP($A$20,Descriptions!$A:$A,Descriptions!$B:$B),_xlfn.XLOOKUP($A$20,Descriptions!$A:$A,Descriptions!$C:$C))</f>
        <v>Útlát av vakstrarhúsgassi (tons av CO2e)</v>
      </c>
      <c r="Q23" s="307" t="str">
        <f>IF($A$2="English",_xlfn.XLOOKUP($A$21,Descriptions!$A:$A,Descriptions!$B:$B),_xlfn.XLOOKUP($A$21,Descriptions!$A:$A,Descriptions!$C:$C))</f>
        <v>Kelda Útlátsfaktorur</v>
      </c>
      <c r="R23" s="307" t="str">
        <f>IF($A$2="English",_xlfn.XLOOKUP($A$22,Descriptions!$A:$A,Descriptions!$B:$B),_xlfn.XLOOKUP($A$22,Descriptions!$A:$A,Descriptions!$C:$C))</f>
        <v>Viðmerking frá brúkara</v>
      </c>
      <c r="S23" s="67"/>
      <c r="T23" s="153" t="s">
        <v>186</v>
      </c>
      <c r="U23" s="153" t="s">
        <v>187</v>
      </c>
      <c r="V23" s="153" t="s">
        <v>188</v>
      </c>
      <c r="W23" s="331" t="str">
        <f>IF($A$2="English",_xlfn.XLOOKUP($A$18,Descriptions!$A:$A,Descriptions!$B:$B),_xlfn.XLOOKUP($A$18,Descriptions!$A:$A,Descriptions!$C:$C))</f>
        <v>Útlátsfaktorur</v>
      </c>
      <c r="X23" s="331" t="str">
        <f>IF($A$2="English",_xlfn.XLOOKUP($A$19,Descriptions!$A:$A,Descriptions!$B:$B),_xlfn.XLOOKUP($A$19,Descriptions!$A:$A,Descriptions!$C:$C))</f>
        <v>Útlátsfaktorur Eind</v>
      </c>
      <c r="Y23" s="331" t="str">
        <f>IF($A$2="English",_xlfn.XLOOKUP($A$20,Descriptions!$A:$A,Descriptions!$B:$B),_xlfn.XLOOKUP($A$20,Descriptions!$A:$A,Descriptions!$C:$C))</f>
        <v>Útlát av vakstrarhúsgassi (tons av CO2e)</v>
      </c>
      <c r="Z23" s="331" t="str">
        <f>IF($A$2="English",_xlfn.XLOOKUP($A$21,Descriptions!$A:$A,Descriptions!$B:$B),_xlfn.XLOOKUP($A$21,Descriptions!$A:$A,Descriptions!$C:$C))</f>
        <v>Kelda Útlátsfaktorur</v>
      </c>
      <c r="AA23" s="67"/>
      <c r="AB23" s="67"/>
      <c r="AC23" s="67"/>
      <c r="AD23" s="151"/>
    </row>
    <row r="24" spans="1:30">
      <c r="A24" s="1" t="s">
        <v>184</v>
      </c>
      <c r="B24" s="4"/>
      <c r="C24" s="12"/>
      <c r="D24" s="95" t="s">
        <v>189</v>
      </c>
      <c r="E24" s="96" t="s">
        <v>231</v>
      </c>
      <c r="F24" s="95" t="s">
        <v>232</v>
      </c>
      <c r="G24" s="97" t="str">
        <f>IF(F24="","","Electricity Use")</f>
        <v>Electricity Use</v>
      </c>
      <c r="H24" s="97" t="str">
        <f>G24&amp;F24</f>
        <v>Electricity UseMeginøki</v>
      </c>
      <c r="I24" s="98">
        <v>1231</v>
      </c>
      <c r="J24" s="95" t="s">
        <v>204</v>
      </c>
      <c r="K24" s="108" t="str">
        <f>IF(J24="","",J24)</f>
        <v>kWh</v>
      </c>
      <c r="L24" s="108" t="str">
        <f>IF(J24="","",_xlfn.XLOOKUP(H24,'Emission Factors'!$M$177:$M$180,'Emission Factors'!$U$177:$U$180))</f>
        <v>kWh</v>
      </c>
      <c r="M24" s="109">
        <f>IF(J24="","",INDEX(Conversions!$C$4:$I$10,MATCH('V2 - Purchased Electricity'!$K24,Conversions!$B$4:$B$10,0),MATCH('V2 - Purchased Electricity'!$L24,Conversions!$C$3:$I$3,0)))</f>
        <v>1</v>
      </c>
      <c r="N24" s="309">
        <f>IF(J24="","",_xlfn.XLOOKUP(H24,'Emission Factors'!$M$177:$M$180,'Emission Factors'!$T$177:$T$180)*M24)</f>
        <v>0.33400000000000002</v>
      </c>
      <c r="O24" s="305" t="str">
        <f>IF(J24="","","kgCO2e/"&amp;K24)</f>
        <v>kgCO2e/kWh</v>
      </c>
      <c r="P24" s="155">
        <f t="shared" ref="P24:P25" si="0">IF(ISBLANK(I24)=TRUE,"",IF(ISBLANK(N24)=TRUE,"",I24*N24)/1000)</f>
        <v>0.41115400000000002</v>
      </c>
      <c r="Q24" s="303" t="str">
        <f>IF(J24="","",_xlfn.XLOOKUP(H24,'Emission Factors'!$M:$M,'Emission Factors'!$W:$W))</f>
        <v>Umhvørvisstovan - 2023</v>
      </c>
      <c r="R24" s="156"/>
      <c r="S24" s="67"/>
      <c r="T24" s="108" t="str">
        <f>K24</f>
        <v>kWh</v>
      </c>
      <c r="U24" s="108" t="str">
        <f>IF(J24="","",_xlfn.XLOOKUP(H24,'Emission Factors'!$M$432:$M$787,'Emission Factors'!$U$432:$U$787))</f>
        <v>kWh</v>
      </c>
      <c r="V24" s="109">
        <f>IF($J24="","",IF(OR($J24="Litre",$J24="Tonne"),_xlfn.XLOOKUP(G24&amp;U24&amp;T24,Conversions!$E$20:$E$104,Conversions!$F$20:$F$104),INDEX(Conversions!$C$4:$I$10,MATCH('V2 - Purchased Electricity'!$T24,Conversions!$B$4:$B$10,0),MATCH('V2 - Purchased Electricity'!$U24,Conversions!$C$3:$I$3,0))))</f>
        <v>1</v>
      </c>
      <c r="W24" s="304">
        <f>IF(J24="","",_xlfn.XLOOKUP(H24,'Emission Factors'!$M$432:$M$787,'Emission Factors'!$S$432:$S$787)*V24)</f>
        <v>0.12318444136841492</v>
      </c>
      <c r="X24" s="305" t="str">
        <f>IF(J24="","","kgCO2e/"&amp;T24)</f>
        <v>kgCO2e/kWh</v>
      </c>
      <c r="Y24" s="129">
        <f>IF(ISBLANK(I24)=TRUE,"",IF(ISBLANK(W24)=TRUE,"",I24*W24)/1000)</f>
        <v>0.15164004732451875</v>
      </c>
      <c r="Z24" s="303" t="str">
        <f>IF(J24="","",_xlfn.XLOOKUP(H24,'Emission Factors'!$M432:$M787,'Emission Factors'!$W432:$W787))</f>
        <v>Umhvørvisstovan - 2021 - T&amp;D and WTT</v>
      </c>
      <c r="AA24" s="67"/>
      <c r="AB24" s="67"/>
      <c r="AC24" s="67"/>
      <c r="AD24" s="151"/>
    </row>
    <row r="25" spans="1:30">
      <c r="A25" s="1" t="s">
        <v>146</v>
      </c>
      <c r="B25" s="4"/>
      <c r="C25" s="12"/>
      <c r="D25" s="95" t="s">
        <v>233</v>
      </c>
      <c r="E25" s="157" t="s">
        <v>231</v>
      </c>
      <c r="F25" s="95" t="s">
        <v>234</v>
      </c>
      <c r="G25" s="97" t="str">
        <f t="shared" ref="G25" si="1">IF(F25="","","Electricity Use")</f>
        <v>Electricity Use</v>
      </c>
      <c r="H25" s="97" t="str">
        <f>G25&amp;F25</f>
        <v>Electricity UseDefault (Faroes Weighted Average)</v>
      </c>
      <c r="I25" s="98">
        <v>10000</v>
      </c>
      <c r="J25" s="95" t="s">
        <v>235</v>
      </c>
      <c r="K25" s="108" t="str">
        <f t="shared" ref="K25" si="2">IF(J25="","",J25)</f>
        <v>MJ</v>
      </c>
      <c r="L25" s="108" t="str">
        <f>IF(J25="","",_xlfn.XLOOKUP(H25,'Emission Factors'!$M$177:$M$180,'Emission Factors'!$U$177:$U$180))</f>
        <v>kWh</v>
      </c>
      <c r="M25" s="109">
        <f>IF(J25="","",INDEX(Conversions!$C$4:$I$10,MATCH('V2 - Purchased Electricity'!$K25,Conversions!$B$4:$B$10,0),MATCH('V2 - Purchased Electricity'!$L25,Conversions!$C$3:$I$3,0)))</f>
        <v>0.27777777799999998</v>
      </c>
      <c r="N25" s="309">
        <f>IF(J25="","",_xlfn.XLOOKUP(H25,'Emission Factors'!$M$177:$M$180,'Emission Factors'!$T$177:$T$180)*M25)</f>
        <v>9.2222222295999995E-2</v>
      </c>
      <c r="O25" s="305" t="str">
        <f t="shared" ref="O25" si="3">IF(J25="","","kgCO2e/"&amp;K25)</f>
        <v>kgCO2e/MJ</v>
      </c>
      <c r="P25" s="155">
        <f t="shared" si="0"/>
        <v>0.92222222296</v>
      </c>
      <c r="Q25" s="303" t="str">
        <f>IF(J25="","",_xlfn.XLOOKUP(H25,'Emission Factors'!$M:$M,'Emission Factors'!$W:$W))</f>
        <v>Umhvørvisstovan - 2023</v>
      </c>
      <c r="R25" s="158"/>
      <c r="S25" s="67"/>
      <c r="T25" s="108" t="str">
        <f>K25</f>
        <v>MJ</v>
      </c>
      <c r="U25" s="108" t="str">
        <f>IF(J25="","",_xlfn.XLOOKUP(H25,'Emission Factors'!$M$432:$M$787,'Emission Factors'!$U$432:$U$787))</f>
        <v>kWh</v>
      </c>
      <c r="V25" s="109">
        <f>IF($J25="","",IF(OR($J25="Litre",$J25="Tonne"),_xlfn.XLOOKUP(G25&amp;U25&amp;T25,Conversions!$E$20:$E$104,Conversions!$F$20:$F$104),INDEX(Conversions!$C$4:$I$10,MATCH('V2 - Purchased Electricity'!$T25,Conversions!$B$4:$B$10,0),MATCH('V2 - Purchased Electricity'!$U25,Conversions!$C$3:$I$3,0))))</f>
        <v>0.27777777799999998</v>
      </c>
      <c r="W25" s="304">
        <f>IF(J25="","",_xlfn.XLOOKUP(H25,'Emission Factors'!$M$432:$M$787,'Emission Factors'!$S$432:$S$787)*V25)</f>
        <v>3.50554989275184E-2</v>
      </c>
      <c r="X25" s="305" t="str">
        <f>IF(J25="","","kgCO2e/"&amp;T25)</f>
        <v>kgCO2e/MJ</v>
      </c>
      <c r="Y25" s="129">
        <f>IF(ISBLANK(I25)=TRUE,"",IF(ISBLANK(W25)=TRUE,"",I25*W25)/1000)</f>
        <v>0.35055498927518397</v>
      </c>
      <c r="Z25" s="303" t="str">
        <f>IF(J25="","",_xlfn.XLOOKUP(H25,'Emission Factors'!$M433:$M788,'Emission Factors'!$W433:$W788))</f>
        <v>Umhvørvisstovan - 2021 - T&amp;D and WTT</v>
      </c>
      <c r="AA25" s="67"/>
      <c r="AB25" s="67"/>
      <c r="AC25" s="67"/>
      <c r="AD25" s="151"/>
    </row>
    <row r="26" spans="1:30">
      <c r="A26" s="1" t="s">
        <v>115</v>
      </c>
      <c r="B26" s="4"/>
      <c r="C26" s="12"/>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1"/>
    </row>
    <row r="27" spans="1:30" ht="15.6" customHeight="1">
      <c r="A27" s="1" t="s">
        <v>167</v>
      </c>
      <c r="B27" s="4"/>
      <c r="C27" s="12"/>
      <c r="D27" s="336" t="str">
        <f>'V1 - Refrigerants'!D27</f>
        <v>Fyritøka</v>
      </c>
      <c r="E27" s="10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1"/>
    </row>
    <row r="28" spans="1:30" ht="17.25" customHeight="1">
      <c r="B28" s="4"/>
      <c r="C28" s="12"/>
      <c r="D28" s="67"/>
      <c r="E28" s="67"/>
      <c r="F28" s="67"/>
      <c r="G28" s="67"/>
      <c r="H28" s="67"/>
      <c r="I28" s="67"/>
      <c r="J28" s="67"/>
      <c r="K28" s="67"/>
      <c r="L28" s="67"/>
      <c r="M28" s="67"/>
      <c r="N28" s="67"/>
      <c r="O28" s="67"/>
      <c r="P28" s="94"/>
      <c r="Q28" s="67"/>
      <c r="R28" s="67"/>
      <c r="S28" s="67"/>
      <c r="T28" s="67"/>
      <c r="U28" s="67"/>
      <c r="V28" s="67"/>
      <c r="W28" s="67"/>
      <c r="X28" s="67"/>
      <c r="Y28" s="67"/>
      <c r="Z28" s="67"/>
      <c r="AA28" s="67"/>
      <c r="AB28" s="67"/>
      <c r="AC28" s="67"/>
      <c r="AD28" s="151"/>
    </row>
    <row r="29" spans="1:30" ht="30" customHeight="1">
      <c r="B29" s="4"/>
      <c r="C29" s="12"/>
      <c r="D29" s="437" t="str">
        <f>IF($A$2="English",_xlfn.XLOOKUP($A$26,Descriptions!$A:$A,Descriptions!$B:$B),_xlfn.XLOOKUP($A$26,Descriptions!$A:$A,Descriptions!$C:$C))</f>
        <v>Talva við útlátsútrokningum</v>
      </c>
      <c r="E29" s="437"/>
      <c r="F29" s="437"/>
      <c r="G29" s="437"/>
      <c r="H29" s="437"/>
      <c r="I29" s="437"/>
      <c r="J29" s="437"/>
      <c r="K29" s="437"/>
      <c r="L29" s="437"/>
      <c r="M29" s="437"/>
      <c r="N29" s="437"/>
      <c r="O29" s="437"/>
      <c r="P29" s="437"/>
      <c r="Q29" s="437"/>
      <c r="R29" s="437"/>
      <c r="S29" s="67"/>
      <c r="T29" s="67"/>
      <c r="U29" s="67"/>
      <c r="V29" s="67"/>
      <c r="W29" s="67"/>
      <c r="X29" s="67"/>
      <c r="Y29" s="67"/>
      <c r="Z29" s="67"/>
      <c r="AA29" s="67"/>
      <c r="AB29" s="67"/>
      <c r="AC29" s="67"/>
      <c r="AD29" s="151"/>
    </row>
    <row r="30" spans="1:30" ht="30" customHeight="1">
      <c r="B30" s="4"/>
      <c r="C30" s="12"/>
      <c r="D30" s="331" t="str">
        <f t="shared" ref="D30:Q30" si="4">D23</f>
        <v>Fasilitetur/Ogn og staðseting</v>
      </c>
      <c r="E30" s="331" t="str">
        <f t="shared" si="4"/>
        <v>Virksemi</v>
      </c>
      <c r="F30" s="331" t="str">
        <f t="shared" si="4"/>
        <v>Elkelda</v>
      </c>
      <c r="G30" s="331" t="str">
        <f t="shared" si="4"/>
        <v>Emissions Source</v>
      </c>
      <c r="H30" s="331" t="str">
        <f t="shared" si="4"/>
        <v>Concat</v>
      </c>
      <c r="I30" s="331" t="str">
        <f t="shared" si="4"/>
        <v>Nøgd</v>
      </c>
      <c r="J30" s="331" t="str">
        <f t="shared" si="4"/>
        <v>Eindir</v>
      </c>
      <c r="K30" s="331" t="str">
        <f t="shared" si="4"/>
        <v>Input Unit</v>
      </c>
      <c r="L30" s="331" t="str">
        <f t="shared" si="4"/>
        <v>Source Emission Factor Unit</v>
      </c>
      <c r="M30" s="331" t="str">
        <f t="shared" si="4"/>
        <v>Conversion Factor</v>
      </c>
      <c r="N30" s="331" t="str">
        <f t="shared" si="4"/>
        <v>Útlátsfaktorur</v>
      </c>
      <c r="O30" s="331" t="str">
        <f t="shared" si="4"/>
        <v>Útlátsfaktorur Eind</v>
      </c>
      <c r="P30" s="331" t="str">
        <f t="shared" si="4"/>
        <v>Útlát av vakstrarhúsgassi (tons av CO2e)</v>
      </c>
      <c r="Q30" s="331" t="str">
        <f t="shared" si="4"/>
        <v>Kelda Útlátsfaktorur</v>
      </c>
      <c r="R30" s="331" t="str">
        <f t="shared" ref="R30" si="5">R23</f>
        <v>Viðmerking frá brúkara</v>
      </c>
      <c r="S30" s="67"/>
      <c r="T30" s="159" t="s">
        <v>186</v>
      </c>
      <c r="U30" s="159" t="s">
        <v>187</v>
      </c>
      <c r="V30" s="159" t="s">
        <v>188</v>
      </c>
      <c r="W30" s="331" t="str">
        <f t="shared" ref="W30:Y30" si="6">W23</f>
        <v>Útlátsfaktorur</v>
      </c>
      <c r="X30" s="331" t="str">
        <f t="shared" si="6"/>
        <v>Útlátsfaktorur Eind</v>
      </c>
      <c r="Y30" s="331" t="str">
        <f t="shared" si="6"/>
        <v>Útlát av vakstrarhúsgassi (tons av CO2e)</v>
      </c>
      <c r="Z30" s="331" t="str">
        <f>Z23</f>
        <v>Kelda Útlátsfaktorur</v>
      </c>
      <c r="AA30" s="67"/>
      <c r="AB30" s="67"/>
      <c r="AC30" s="67"/>
      <c r="AD30" s="151"/>
    </row>
    <row r="31" spans="1:30">
      <c r="B31" s="4"/>
      <c r="C31" s="12"/>
      <c r="D31" s="123"/>
      <c r="E31" s="130"/>
      <c r="F31" s="131"/>
      <c r="G31" s="132" t="str">
        <f>IF(F31="","","Electricity Use")</f>
        <v/>
      </c>
      <c r="H31" s="132" t="str">
        <f t="shared" ref="H31:H52" si="7">G31&amp;F31</f>
        <v/>
      </c>
      <c r="I31" s="133"/>
      <c r="J31" s="131"/>
      <c r="K31" s="108" t="str">
        <f>IF(J31="","",J31)</f>
        <v/>
      </c>
      <c r="L31" s="108" t="str">
        <f>IF(J31="","",_xlfn.XLOOKUP(H31,'Emission Factors'!$M$177:$M$180,'Emission Factors'!$U$177:$U$180))</f>
        <v/>
      </c>
      <c r="M31" s="109" t="str">
        <f>IF(J31="","",INDEX(Conversions!$C$4:$I$10,MATCH('V2 - Purchased Electricity'!$K31,Conversions!$B$4:$B$10,0),MATCH('V2 - Purchased Electricity'!$L31,Conversions!$C$3:$I$3,0)))</f>
        <v/>
      </c>
      <c r="N31" s="310" t="str">
        <f>IF(J31="","",_xlfn.XLOOKUP(H31,'Emission Factors'!$M$177:$M$180,'Emission Factors'!$T$177:$T$180)*M31)</f>
        <v/>
      </c>
      <c r="O31" s="311" t="str">
        <f>IF(J31="","","kgCO2e/"&amp;K31)</f>
        <v/>
      </c>
      <c r="P31" s="134" t="str">
        <f t="shared" ref="P31:P33" si="8">IF(ISBLANK(I31)=TRUE,"",IF(ISBLANK(N31)=TRUE,"",I31*N31)/1000)</f>
        <v/>
      </c>
      <c r="Q31" s="306" t="str">
        <f>IF(J31="","",_xlfn.XLOOKUP(H31,'Emission Factors'!$M:$M,'Emission Factors'!$W:$W))</f>
        <v/>
      </c>
      <c r="R31" s="130"/>
      <c r="S31" s="67"/>
      <c r="T31" s="108" t="str">
        <f t="shared" ref="T31:T60" si="9">K31</f>
        <v/>
      </c>
      <c r="U31" s="108" t="str">
        <f>IF(J31="","",_xlfn.XLOOKUP(H31,'Emission Factors'!$M$432:$M$787,'Emission Factors'!$U$432:$U$787))</f>
        <v/>
      </c>
      <c r="V31" s="109" t="str">
        <f>IF($J31="","",IF(OR($J31="Litre",$J31="Tonne"),_xlfn.XLOOKUP(G31&amp;U31&amp;T31,Conversions!$E$20:$E$104,Conversions!$F$20:$F$104),INDEX(Conversions!$C$4:$I$10,MATCH('V2 - Purchased Electricity'!$T31,Conversions!$B$4:$B$10,0),MATCH('V2 - Purchased Electricity'!$U31,Conversions!$C$3:$I$3,0))))</f>
        <v/>
      </c>
      <c r="W31" s="326" t="str">
        <f>IF(J31="","",_xlfn.XLOOKUP(H31,'Emission Factors'!$M$432:$M$787,'Emission Factors'!$S$432:$S$787)*V31)</f>
        <v/>
      </c>
      <c r="X31" s="311" t="str">
        <f t="shared" ref="X31:X60" si="10">IF(J31="","","kgCO2e/"&amp;T31)</f>
        <v/>
      </c>
      <c r="Y31" s="128" t="str">
        <f t="shared" ref="Y31:Y60" si="11">IF(ISBLANK(I31)=TRUE,"",IF(ISBLANK(W31)=TRUE,"",I31*W31)/1000)</f>
        <v/>
      </c>
      <c r="Z31" s="306" t="str">
        <f>IF(J31="","",_xlfn.XLOOKUP(H31,'Emission Factors'!$M438:$M793,'Emission Factors'!$W438:$W793))</f>
        <v/>
      </c>
      <c r="AA31" s="67"/>
      <c r="AB31" s="67"/>
      <c r="AC31" s="67"/>
      <c r="AD31" s="151"/>
    </row>
    <row r="32" spans="1:30">
      <c r="B32" s="4"/>
      <c r="C32" s="12"/>
      <c r="D32" s="123"/>
      <c r="E32" s="136"/>
      <c r="F32" s="131"/>
      <c r="G32" s="132" t="str">
        <f t="shared" ref="G32:G52" si="12">IF(F32="","","Electricity Use")</f>
        <v/>
      </c>
      <c r="H32" s="132" t="str">
        <f t="shared" si="7"/>
        <v/>
      </c>
      <c r="I32" s="133"/>
      <c r="J32" s="131"/>
      <c r="K32" s="108" t="str">
        <f t="shared" ref="K32:K52" si="13">IF(J32="","",J32)</f>
        <v/>
      </c>
      <c r="L32" s="108" t="str">
        <f>IF(J32="","",_xlfn.XLOOKUP(H32,'Emission Factors'!$M$177:$M$180,'Emission Factors'!$U$177:$U$180))</f>
        <v/>
      </c>
      <c r="M32" s="109" t="str">
        <f>IF(J32="","",INDEX(Conversions!$C$4:$I$10,MATCH('V2 - Purchased Electricity'!$K32,Conversions!$B$4:$B$10,0),MATCH('V2 - Purchased Electricity'!$L32,Conversions!$C$3:$I$3,0)))</f>
        <v/>
      </c>
      <c r="N32" s="310" t="str">
        <f>IF(J32="","",_xlfn.XLOOKUP(H32,'Emission Factors'!$M$177:$M$180,'Emission Factors'!$T$177:$T$180)*M32)</f>
        <v/>
      </c>
      <c r="O32" s="311" t="str">
        <f t="shared" ref="O32:O52" si="14">IF(J32="","","kgCO2e/"&amp;K32)</f>
        <v/>
      </c>
      <c r="P32" s="134" t="str">
        <f t="shared" si="8"/>
        <v/>
      </c>
      <c r="Q32" s="306" t="str">
        <f>IF(J32="","",_xlfn.XLOOKUP(H32,'Emission Factors'!$M:$M,'Emission Factors'!$W:$W))</f>
        <v/>
      </c>
      <c r="R32" s="136"/>
      <c r="S32" s="67"/>
      <c r="T32" s="108" t="str">
        <f t="shared" si="9"/>
        <v/>
      </c>
      <c r="U32" s="108" t="str">
        <f>IF(J32="","",_xlfn.XLOOKUP(H32,'Emission Factors'!$M$432:$M$787,'Emission Factors'!$U$432:$U$787))</f>
        <v/>
      </c>
      <c r="V32" s="109" t="str">
        <f>IF($J32="","",IF(OR($J32="Litre",$J32="Tonne"),_xlfn.XLOOKUP(G32&amp;U32&amp;T32,Conversions!$E$20:$E$104,Conversions!$F$20:$F$104),INDEX(Conversions!$C$4:$I$10,MATCH('V2 - Purchased Electricity'!$T32,Conversions!$B$4:$B$10,0),MATCH('V2 - Purchased Electricity'!$U32,Conversions!$C$3:$I$3,0))))</f>
        <v/>
      </c>
      <c r="W32" s="326" t="str">
        <f>IF(J32="","",_xlfn.XLOOKUP(H32,'Emission Factors'!$M$432:$M$787,'Emission Factors'!$S$432:$S$787)*V32)</f>
        <v/>
      </c>
      <c r="X32" s="311" t="str">
        <f t="shared" si="10"/>
        <v/>
      </c>
      <c r="Y32" s="110" t="str">
        <f t="shared" si="11"/>
        <v/>
      </c>
      <c r="Z32" s="306" t="str">
        <f>IF(J32="","",_xlfn.XLOOKUP(H32,'Emission Factors'!$M439:$M794,'Emission Factors'!$W439:$W794))</f>
        <v/>
      </c>
      <c r="AA32" s="67"/>
      <c r="AB32" s="67"/>
      <c r="AC32" s="67"/>
      <c r="AD32" s="151"/>
    </row>
    <row r="33" spans="2:30">
      <c r="B33" s="4"/>
      <c r="C33" s="12"/>
      <c r="D33" s="123"/>
      <c r="E33" s="136"/>
      <c r="F33" s="131"/>
      <c r="G33" s="132" t="str">
        <f t="shared" si="12"/>
        <v/>
      </c>
      <c r="H33" s="132" t="str">
        <f t="shared" si="7"/>
        <v/>
      </c>
      <c r="I33" s="137"/>
      <c r="J33" s="131"/>
      <c r="K33" s="108" t="str">
        <f t="shared" si="13"/>
        <v/>
      </c>
      <c r="L33" s="108" t="str">
        <f>IF(J33="","",_xlfn.XLOOKUP(H33,'Emission Factors'!$M$177:$M$180,'Emission Factors'!$U$177:$U$180))</f>
        <v/>
      </c>
      <c r="M33" s="109" t="str">
        <f>IF(J33="","",INDEX(Conversions!$C$4:$I$10,MATCH('V2 - Purchased Electricity'!$K33,Conversions!$B$4:$B$10,0),MATCH('V2 - Purchased Electricity'!$L33,Conversions!$C$3:$I$3,0)))</f>
        <v/>
      </c>
      <c r="N33" s="310" t="str">
        <f>IF(J33="","",_xlfn.XLOOKUP(H33,'Emission Factors'!$M$177:$M$180,'Emission Factors'!$T$177:$T$180)*M33)</f>
        <v/>
      </c>
      <c r="O33" s="311" t="str">
        <f t="shared" si="14"/>
        <v/>
      </c>
      <c r="P33" s="134" t="str">
        <f t="shared" si="8"/>
        <v/>
      </c>
      <c r="Q33" s="306" t="str">
        <f>IF(J33="","",_xlfn.XLOOKUP(H33,'Emission Factors'!$M:$M,'Emission Factors'!$W:$W))</f>
        <v/>
      </c>
      <c r="R33" s="136"/>
      <c r="S33" s="67"/>
      <c r="T33" s="108" t="str">
        <f t="shared" si="9"/>
        <v/>
      </c>
      <c r="U33" s="108" t="str">
        <f>IF(J33="","",_xlfn.XLOOKUP(H33,'Emission Factors'!$M$432:$M$787,'Emission Factors'!$U$432:$U$787))</f>
        <v/>
      </c>
      <c r="V33" s="109" t="str">
        <f>IF($J33="","",IF(OR($J33="Litre",$J33="Tonne"),_xlfn.XLOOKUP(G33&amp;U33&amp;T33,Conversions!$E$20:$E$104,Conversions!$F$20:$F$104),INDEX(Conversions!$C$4:$I$10,MATCH('V2 - Purchased Electricity'!$T33,Conversions!$B$4:$B$10,0),MATCH('V2 - Purchased Electricity'!$U33,Conversions!$C$3:$I$3,0))))</f>
        <v/>
      </c>
      <c r="W33" s="326" t="str">
        <f>IF(J33="","",_xlfn.XLOOKUP(H33,'Emission Factors'!$M$432:$M$787,'Emission Factors'!$S$432:$S$787)*V33)</f>
        <v/>
      </c>
      <c r="X33" s="311" t="str">
        <f t="shared" si="10"/>
        <v/>
      </c>
      <c r="Y33" s="110" t="str">
        <f t="shared" si="11"/>
        <v/>
      </c>
      <c r="Z33" s="306" t="str">
        <f>IF(J33="","",_xlfn.XLOOKUP(H33,'Emission Factors'!$M440:$M795,'Emission Factors'!$W440:$W795))</f>
        <v/>
      </c>
      <c r="AA33" s="67"/>
      <c r="AB33" s="67"/>
      <c r="AC33" s="67"/>
      <c r="AD33" s="151"/>
    </row>
    <row r="34" spans="2:30">
      <c r="B34" s="4"/>
      <c r="C34" s="12"/>
      <c r="D34" s="123"/>
      <c r="E34" s="136"/>
      <c r="F34" s="131"/>
      <c r="G34" s="132" t="str">
        <f t="shared" si="12"/>
        <v/>
      </c>
      <c r="H34" s="132" t="str">
        <f t="shared" si="7"/>
        <v/>
      </c>
      <c r="I34" s="137"/>
      <c r="J34" s="131"/>
      <c r="K34" s="108" t="str">
        <f t="shared" si="13"/>
        <v/>
      </c>
      <c r="L34" s="108" t="str">
        <f>IF(J34="","",_xlfn.XLOOKUP(H34,'Emission Factors'!$M$177:$M$180,'Emission Factors'!$U$177:$U$180))</f>
        <v/>
      </c>
      <c r="M34" s="109" t="str">
        <f>IF(J34="","",INDEX(Conversions!$C$4:$I$10,MATCH('V2 - Purchased Electricity'!$K34,Conversions!$B$4:$B$10,0),MATCH('V2 - Purchased Electricity'!$L34,Conversions!$C$3:$I$3,0)))</f>
        <v/>
      </c>
      <c r="N34" s="310" t="str">
        <f>IF(J34="","",_xlfn.XLOOKUP(H34,'Emission Factors'!$M$177:$M$180,'Emission Factors'!$T$177:$T$180)*M34)</f>
        <v/>
      </c>
      <c r="O34" s="311" t="str">
        <f t="shared" si="14"/>
        <v/>
      </c>
      <c r="P34" s="134" t="str">
        <f>IF(ISBLANK(I34)=TRUE,"",IF(ISBLANK(N34)=TRUE,"",I34*N34)/1000)</f>
        <v/>
      </c>
      <c r="Q34" s="306" t="str">
        <f>IF(J34="","",_xlfn.XLOOKUP(H34,'Emission Factors'!$M:$M,'Emission Factors'!$W:$W))</f>
        <v/>
      </c>
      <c r="R34" s="136"/>
      <c r="S34" s="67"/>
      <c r="T34" s="108" t="str">
        <f t="shared" si="9"/>
        <v/>
      </c>
      <c r="U34" s="108" t="str">
        <f>IF(J34="","",_xlfn.XLOOKUP(H34,'Emission Factors'!$M$432:$M$787,'Emission Factors'!$U$432:$U$787))</f>
        <v/>
      </c>
      <c r="V34" s="109" t="str">
        <f>IF($J34="","",IF(OR($J34="Litre",$J34="Tonne"),_xlfn.XLOOKUP(G34&amp;U34&amp;T34,Conversions!$E$20:$E$104,Conversions!$F$20:$F$104),INDEX(Conversions!$C$4:$I$10,MATCH('V2 - Purchased Electricity'!$T34,Conversions!$B$4:$B$10,0),MATCH('V2 - Purchased Electricity'!$U34,Conversions!$C$3:$I$3,0))))</f>
        <v/>
      </c>
      <c r="W34" s="326" t="str">
        <f>IF(J34="","",_xlfn.XLOOKUP(H34,'Emission Factors'!$M$432:$M$787,'Emission Factors'!$S$432:$S$787)*V34)</f>
        <v/>
      </c>
      <c r="X34" s="311" t="str">
        <f t="shared" si="10"/>
        <v/>
      </c>
      <c r="Y34" s="110" t="str">
        <f t="shared" si="11"/>
        <v/>
      </c>
      <c r="Z34" s="306" t="str">
        <f>IF(J34="","",_xlfn.XLOOKUP(H34,'Emission Factors'!$M441:$M796,'Emission Factors'!$W441:$W796))</f>
        <v/>
      </c>
      <c r="AA34" s="67"/>
      <c r="AB34" s="67"/>
      <c r="AC34" s="67"/>
      <c r="AD34" s="151"/>
    </row>
    <row r="35" spans="2:30">
      <c r="B35" s="4"/>
      <c r="C35" s="12"/>
      <c r="D35" s="123"/>
      <c r="E35" s="138"/>
      <c r="F35" s="131"/>
      <c r="G35" s="132" t="str">
        <f t="shared" si="12"/>
        <v/>
      </c>
      <c r="H35" s="132" t="str">
        <f t="shared" si="7"/>
        <v/>
      </c>
      <c r="I35" s="137"/>
      <c r="J35" s="131"/>
      <c r="K35" s="108" t="str">
        <f t="shared" si="13"/>
        <v/>
      </c>
      <c r="L35" s="108" t="str">
        <f>IF(J35="","",_xlfn.XLOOKUP(H35,'Emission Factors'!$M$177:$M$180,'Emission Factors'!$U$177:$U$180))</f>
        <v/>
      </c>
      <c r="M35" s="109" t="str">
        <f>IF(J35="","",INDEX(Conversions!$C$4:$I$10,MATCH('V2 - Purchased Electricity'!$K35,Conversions!$B$4:$B$10,0),MATCH('V2 - Purchased Electricity'!$L35,Conversions!$C$3:$I$3,0)))</f>
        <v/>
      </c>
      <c r="N35" s="310" t="str">
        <f>IF(J35="","",_xlfn.XLOOKUP(H35,'Emission Factors'!$M$177:$M$180,'Emission Factors'!$T$177:$T$180)*M35)</f>
        <v/>
      </c>
      <c r="O35" s="311" t="str">
        <f t="shared" si="14"/>
        <v/>
      </c>
      <c r="P35" s="134" t="str">
        <f t="shared" ref="P35:P52" si="15">IF(ISBLANK(I35)=TRUE,"",IF(ISBLANK(N35)=TRUE,"",I35*N35)/1000)</f>
        <v/>
      </c>
      <c r="Q35" s="306" t="str">
        <f>IF(J35="","",_xlfn.XLOOKUP(H35,'Emission Factors'!$M:$M,'Emission Factors'!$W:$W))</f>
        <v/>
      </c>
      <c r="R35" s="138"/>
      <c r="S35" s="67"/>
      <c r="T35" s="108" t="str">
        <f t="shared" si="9"/>
        <v/>
      </c>
      <c r="U35" s="108" t="str">
        <f>IF(J35="","",_xlfn.XLOOKUP(H35,'Emission Factors'!$M$432:$M$787,'Emission Factors'!$U$432:$U$787))</f>
        <v/>
      </c>
      <c r="V35" s="109" t="str">
        <f>IF($J35="","",IF(OR($J35="Litre",$J35="Tonne"),_xlfn.XLOOKUP(G35&amp;U35&amp;T35,Conversions!$E$20:$E$104,Conversions!$F$20:$F$104),INDEX(Conversions!$C$4:$I$10,MATCH('V2 - Purchased Electricity'!$T35,Conversions!$B$4:$B$10,0),MATCH('V2 - Purchased Electricity'!$U35,Conversions!$C$3:$I$3,0))))</f>
        <v/>
      </c>
      <c r="W35" s="326" t="str">
        <f>IF(J35="","",_xlfn.XLOOKUP(H35,'Emission Factors'!$M$432:$M$787,'Emission Factors'!$S$432:$S$787)*V35)</f>
        <v/>
      </c>
      <c r="X35" s="311" t="str">
        <f t="shared" si="10"/>
        <v/>
      </c>
      <c r="Y35" s="110" t="str">
        <f t="shared" si="11"/>
        <v/>
      </c>
      <c r="Z35" s="306" t="str">
        <f>IF(J35="","",_xlfn.XLOOKUP(H35,'Emission Factors'!$M442:$M797,'Emission Factors'!$W442:$W797))</f>
        <v/>
      </c>
      <c r="AA35" s="67"/>
      <c r="AB35" s="67"/>
      <c r="AC35" s="67"/>
      <c r="AD35" s="151"/>
    </row>
    <row r="36" spans="2:30">
      <c r="B36" s="4"/>
      <c r="C36" s="12"/>
      <c r="D36" s="123"/>
      <c r="E36" s="136"/>
      <c r="F36" s="131"/>
      <c r="G36" s="132" t="str">
        <f t="shared" si="12"/>
        <v/>
      </c>
      <c r="H36" s="132" t="str">
        <f t="shared" si="7"/>
        <v/>
      </c>
      <c r="I36" s="137"/>
      <c r="J36" s="131"/>
      <c r="K36" s="108" t="str">
        <f>IF(J36="","",J36)</f>
        <v/>
      </c>
      <c r="L36" s="108" t="str">
        <f>IF(J36="","",_xlfn.XLOOKUP(H36,'Emission Factors'!$M$177:$M$180,'Emission Factors'!$U$177:$U$180))</f>
        <v/>
      </c>
      <c r="M36" s="109" t="str">
        <f>IF(J36="","",INDEX(Conversions!$C$4:$I$10,MATCH('V2 - Purchased Electricity'!$K36,Conversions!$B$4:$B$10,0),MATCH('V2 - Purchased Electricity'!$L36,Conversions!$C$3:$I$3,0)))</f>
        <v/>
      </c>
      <c r="N36" s="310" t="str">
        <f>IF(J36="","",_xlfn.XLOOKUP(H36,'Emission Factors'!$M$177:$M$180,'Emission Factors'!$T$177:$T$180)*M36)</f>
        <v/>
      </c>
      <c r="O36" s="311" t="str">
        <f t="shared" si="14"/>
        <v/>
      </c>
      <c r="P36" s="134" t="str">
        <f t="shared" si="15"/>
        <v/>
      </c>
      <c r="Q36" s="306" t="str">
        <f>IF(J36="","",_xlfn.XLOOKUP(H36,'Emission Factors'!$M:$M,'Emission Factors'!$W:$W))</f>
        <v/>
      </c>
      <c r="R36" s="136"/>
      <c r="S36" s="67"/>
      <c r="T36" s="108" t="str">
        <f t="shared" si="9"/>
        <v/>
      </c>
      <c r="U36" s="108" t="str">
        <f>IF(J36="","",_xlfn.XLOOKUP(H36,'Emission Factors'!$M$432:$M$787,'Emission Factors'!$U$432:$U$787))</f>
        <v/>
      </c>
      <c r="V36" s="109" t="str">
        <f>IF($J36="","",IF(OR($J36="Litre",$J36="Tonne"),_xlfn.XLOOKUP(G36&amp;U36&amp;T36,Conversions!$E$20:$E$104,Conversions!$F$20:$F$104),INDEX(Conversions!$C$4:$I$10,MATCH('V2 - Purchased Electricity'!$T36,Conversions!$B$4:$B$10,0),MATCH('V2 - Purchased Electricity'!$U36,Conversions!$C$3:$I$3,0))))</f>
        <v/>
      </c>
      <c r="W36" s="326" t="str">
        <f>IF(J36="","",_xlfn.XLOOKUP(H36,'Emission Factors'!$M$432:$M$787,'Emission Factors'!$S$432:$S$787)*V36)</f>
        <v/>
      </c>
      <c r="X36" s="311" t="str">
        <f t="shared" si="10"/>
        <v/>
      </c>
      <c r="Y36" s="110" t="str">
        <f t="shared" si="11"/>
        <v/>
      </c>
      <c r="Z36" s="306" t="str">
        <f>IF(J36="","",_xlfn.XLOOKUP(H36,'Emission Factors'!$M443:$M798,'Emission Factors'!$W443:$W798))</f>
        <v/>
      </c>
      <c r="AA36" s="67"/>
      <c r="AB36" s="67"/>
      <c r="AC36" s="67"/>
      <c r="AD36" s="151"/>
    </row>
    <row r="37" spans="2:30">
      <c r="B37" s="4"/>
      <c r="C37" s="12"/>
      <c r="D37" s="123"/>
      <c r="E37" s="136"/>
      <c r="F37" s="131"/>
      <c r="G37" s="132" t="str">
        <f t="shared" si="12"/>
        <v/>
      </c>
      <c r="H37" s="132" t="str">
        <f t="shared" si="7"/>
        <v/>
      </c>
      <c r="I37" s="137"/>
      <c r="J37" s="131"/>
      <c r="K37" s="108" t="str">
        <f>IF(J37="","",J37)</f>
        <v/>
      </c>
      <c r="L37" s="108" t="str">
        <f>IF(J37="","",_xlfn.XLOOKUP(H37,'Emission Factors'!$M$177:$M$180,'Emission Factors'!$U$177:$U$180))</f>
        <v/>
      </c>
      <c r="M37" s="109" t="str">
        <f>IF(J37="","",INDEX(Conversions!$C$4:$I$10,MATCH('V2 - Purchased Electricity'!$K37,Conversions!$B$4:$B$10,0),MATCH('V2 - Purchased Electricity'!$L37,Conversions!$C$3:$I$3,0)))</f>
        <v/>
      </c>
      <c r="N37" s="310" t="str">
        <f>IF(J37="","",_xlfn.XLOOKUP(H37,'Emission Factors'!$M$177:$M$180,'Emission Factors'!$T$177:$T$180)*M37)</f>
        <v/>
      </c>
      <c r="O37" s="311" t="str">
        <f t="shared" si="14"/>
        <v/>
      </c>
      <c r="P37" s="134" t="str">
        <f t="shared" si="15"/>
        <v/>
      </c>
      <c r="Q37" s="306" t="str">
        <f>IF(J37="","",_xlfn.XLOOKUP(H37,'Emission Factors'!$M:$M,'Emission Factors'!$W:$W))</f>
        <v/>
      </c>
      <c r="R37" s="136"/>
      <c r="S37" s="67"/>
      <c r="T37" s="108" t="str">
        <f t="shared" si="9"/>
        <v/>
      </c>
      <c r="U37" s="108" t="str">
        <f>IF(J37="","",_xlfn.XLOOKUP(H37,'Emission Factors'!$M$432:$M$787,'Emission Factors'!$U$432:$U$787))</f>
        <v/>
      </c>
      <c r="V37" s="109" t="str">
        <f>IF($J37="","",IF(OR($J37="Litre",$J37="Tonne"),_xlfn.XLOOKUP(G37&amp;U37&amp;T37,Conversions!$E$20:$E$104,Conversions!$F$20:$F$104),INDEX(Conversions!$C$4:$I$10,MATCH('V2 - Purchased Electricity'!$T37,Conversions!$B$4:$B$10,0),MATCH('V2 - Purchased Electricity'!$U37,Conversions!$C$3:$I$3,0))))</f>
        <v/>
      </c>
      <c r="W37" s="326" t="str">
        <f>IF(J37="","",_xlfn.XLOOKUP(H37,'Emission Factors'!$M$432:$M$787,'Emission Factors'!$S$432:$S$787)*V37)</f>
        <v/>
      </c>
      <c r="X37" s="311" t="str">
        <f t="shared" si="10"/>
        <v/>
      </c>
      <c r="Y37" s="110" t="str">
        <f t="shared" si="11"/>
        <v/>
      </c>
      <c r="Z37" s="306" t="str">
        <f>IF(J37="","",_xlfn.XLOOKUP(H37,'Emission Factors'!$M443:$M799,'Emission Factors'!$W443:$W799))</f>
        <v/>
      </c>
      <c r="AA37" s="67"/>
      <c r="AB37" s="67"/>
      <c r="AC37" s="67"/>
      <c r="AD37" s="151"/>
    </row>
    <row r="38" spans="2:30">
      <c r="B38" s="4"/>
      <c r="C38" s="12"/>
      <c r="D38" s="123"/>
      <c r="E38" s="136"/>
      <c r="F38" s="131"/>
      <c r="G38" s="132" t="str">
        <f t="shared" si="12"/>
        <v/>
      </c>
      <c r="H38" s="132" t="str">
        <f t="shared" si="7"/>
        <v/>
      </c>
      <c r="I38" s="137"/>
      <c r="J38" s="131"/>
      <c r="K38" s="108" t="str">
        <f t="shared" si="13"/>
        <v/>
      </c>
      <c r="L38" s="108" t="str">
        <f>IF(J38="","",_xlfn.XLOOKUP(H38,'Emission Factors'!$M$177:$M$180,'Emission Factors'!$U$177:$U$180))</f>
        <v/>
      </c>
      <c r="M38" s="109" t="str">
        <f>IF(J38="","",INDEX(Conversions!$C$4:$I$10,MATCH('V2 - Purchased Electricity'!$K38,Conversions!$B$4:$B$10,0),MATCH('V2 - Purchased Electricity'!$L38,Conversions!$C$3:$I$3,0)))</f>
        <v/>
      </c>
      <c r="N38" s="310" t="str">
        <f>IF(J38="","",_xlfn.XLOOKUP(H38,'Emission Factors'!$M$177:$M$180,'Emission Factors'!$T$177:$T$180)*M38)</f>
        <v/>
      </c>
      <c r="O38" s="311" t="str">
        <f t="shared" si="14"/>
        <v/>
      </c>
      <c r="P38" s="134" t="str">
        <f t="shared" si="15"/>
        <v/>
      </c>
      <c r="Q38" s="306" t="str">
        <f>IF(J38="","",_xlfn.XLOOKUP(H38,'Emission Factors'!$M:$M,'Emission Factors'!$W:$W))</f>
        <v/>
      </c>
      <c r="R38" s="136"/>
      <c r="S38" s="67"/>
      <c r="T38" s="108" t="str">
        <f t="shared" si="9"/>
        <v/>
      </c>
      <c r="U38" s="108" t="str">
        <f>IF(J38="","",_xlfn.XLOOKUP(H38,'Emission Factors'!$M$432:$M$787,'Emission Factors'!$U$432:$U$787))</f>
        <v/>
      </c>
      <c r="V38" s="109" t="str">
        <f>IF($J38="","",IF(OR($J38="Litre",$J38="Tonne"),_xlfn.XLOOKUP(G38&amp;U38&amp;T38,Conversions!$E$20:$E$104,Conversions!$F$20:$F$104),INDEX(Conversions!$C$4:$I$10,MATCH('V2 - Purchased Electricity'!$T38,Conversions!$B$4:$B$10,0),MATCH('V2 - Purchased Electricity'!$U38,Conversions!$C$3:$I$3,0))))</f>
        <v/>
      </c>
      <c r="W38" s="326" t="str">
        <f>IF(J38="","",_xlfn.XLOOKUP(H38,'Emission Factors'!$M$432:$M$787,'Emission Factors'!$S$432:$S$787)*V38)</f>
        <v/>
      </c>
      <c r="X38" s="311" t="str">
        <f t="shared" si="10"/>
        <v/>
      </c>
      <c r="Y38" s="110" t="str">
        <f t="shared" si="11"/>
        <v/>
      </c>
      <c r="Z38" s="306" t="str">
        <f>IF(J38="","",_xlfn.XLOOKUP(H38,'Emission Factors'!$M444:$M800,'Emission Factors'!$W444:$W800))</f>
        <v/>
      </c>
      <c r="AA38" s="67"/>
      <c r="AB38" s="67"/>
      <c r="AC38" s="67"/>
      <c r="AD38" s="151"/>
    </row>
    <row r="39" spans="2:30">
      <c r="B39" s="4"/>
      <c r="C39" s="12"/>
      <c r="D39" s="123"/>
      <c r="E39" s="136"/>
      <c r="F39" s="131"/>
      <c r="G39" s="132" t="str">
        <f t="shared" si="12"/>
        <v/>
      </c>
      <c r="H39" s="132" t="str">
        <f t="shared" si="7"/>
        <v/>
      </c>
      <c r="I39" s="137"/>
      <c r="J39" s="131"/>
      <c r="K39" s="108" t="str">
        <f t="shared" si="13"/>
        <v/>
      </c>
      <c r="L39" s="108" t="str">
        <f>IF(J39="","",_xlfn.XLOOKUP(H39,'Emission Factors'!$M$177:$M$180,'Emission Factors'!$U$177:$U$180))</f>
        <v/>
      </c>
      <c r="M39" s="109" t="str">
        <f>IF(J39="","",INDEX(Conversions!$C$4:$I$10,MATCH('V2 - Purchased Electricity'!$K39,Conversions!$B$4:$B$10,0),MATCH('V2 - Purchased Electricity'!$L39,Conversions!$C$3:$I$3,0)))</f>
        <v/>
      </c>
      <c r="N39" s="310" t="str">
        <f>IF(J39="","",_xlfn.XLOOKUP(H39,'Emission Factors'!$M$177:$M$180,'Emission Factors'!$T$177:$T$180)*M39)</f>
        <v/>
      </c>
      <c r="O39" s="311" t="str">
        <f t="shared" si="14"/>
        <v/>
      </c>
      <c r="P39" s="134" t="str">
        <f t="shared" si="15"/>
        <v/>
      </c>
      <c r="Q39" s="306" t="str">
        <f>IF(J39="","",_xlfn.XLOOKUP(H39,'Emission Factors'!$M:$M,'Emission Factors'!$W:$W))</f>
        <v/>
      </c>
      <c r="R39" s="136"/>
      <c r="S39" s="67"/>
      <c r="T39" s="108" t="str">
        <f t="shared" si="9"/>
        <v/>
      </c>
      <c r="U39" s="108" t="str">
        <f>IF(J39="","",_xlfn.XLOOKUP(H39,'Emission Factors'!$M$432:$M$787,'Emission Factors'!$U$432:$U$787))</f>
        <v/>
      </c>
      <c r="V39" s="109" t="str">
        <f>IF($J39="","",IF(OR($J39="Litre",$J39="Tonne"),_xlfn.XLOOKUP(G39&amp;U39&amp;T39,Conversions!$E$20:$E$104,Conversions!$F$20:$F$104),INDEX(Conversions!$C$4:$I$10,MATCH('V2 - Purchased Electricity'!$T39,Conversions!$B$4:$B$10,0),MATCH('V2 - Purchased Electricity'!$U39,Conversions!$C$3:$I$3,0))))</f>
        <v/>
      </c>
      <c r="W39" s="326" t="str">
        <f>IF(J39="","",_xlfn.XLOOKUP(H39,'Emission Factors'!$M$432:$M$787,'Emission Factors'!$S$432:$S$787)*V39)</f>
        <v/>
      </c>
      <c r="X39" s="311" t="str">
        <f t="shared" si="10"/>
        <v/>
      </c>
      <c r="Y39" s="110" t="str">
        <f t="shared" si="11"/>
        <v/>
      </c>
      <c r="Z39" s="306" t="str">
        <f>IF(J39="","",_xlfn.XLOOKUP(H39,'Emission Factors'!$M445:$M801,'Emission Factors'!$W445:$W801))</f>
        <v/>
      </c>
      <c r="AA39" s="67"/>
      <c r="AB39" s="67"/>
      <c r="AC39" s="67"/>
      <c r="AD39" s="151"/>
    </row>
    <row r="40" spans="2:30">
      <c r="B40" s="4"/>
      <c r="C40" s="12"/>
      <c r="D40" s="123"/>
      <c r="E40" s="136"/>
      <c r="F40" s="131"/>
      <c r="G40" s="132" t="str">
        <f t="shared" si="12"/>
        <v/>
      </c>
      <c r="H40" s="132" t="str">
        <f t="shared" si="7"/>
        <v/>
      </c>
      <c r="I40" s="137"/>
      <c r="J40" s="131"/>
      <c r="K40" s="108" t="str">
        <f t="shared" si="13"/>
        <v/>
      </c>
      <c r="L40" s="108" t="str">
        <f>IF(J40="","",_xlfn.XLOOKUP(H40,'Emission Factors'!$M$177:$M$180,'Emission Factors'!$U$177:$U$180))</f>
        <v/>
      </c>
      <c r="M40" s="109" t="str">
        <f>IF(J40="","",INDEX(Conversions!$C$4:$I$10,MATCH('V2 - Purchased Electricity'!$K40,Conversions!$B$4:$B$10,0),MATCH('V2 - Purchased Electricity'!$L40,Conversions!$C$3:$I$3,0)))</f>
        <v/>
      </c>
      <c r="N40" s="310" t="str">
        <f>IF(J40="","",_xlfn.XLOOKUP(H40,'Emission Factors'!$M$177:$M$180,'Emission Factors'!$T$177:$T$180)*M40)</f>
        <v/>
      </c>
      <c r="O40" s="311" t="str">
        <f t="shared" si="14"/>
        <v/>
      </c>
      <c r="P40" s="134" t="str">
        <f t="shared" si="15"/>
        <v/>
      </c>
      <c r="Q40" s="306" t="str">
        <f>IF(J40="","",_xlfn.XLOOKUP(H40,'Emission Factors'!$M:$M,'Emission Factors'!$W:$W))</f>
        <v/>
      </c>
      <c r="R40" s="136"/>
      <c r="S40" s="67"/>
      <c r="T40" s="108" t="str">
        <f t="shared" si="9"/>
        <v/>
      </c>
      <c r="U40" s="108" t="str">
        <f>IF(J40="","",_xlfn.XLOOKUP(H40,'Emission Factors'!$M$432:$M$787,'Emission Factors'!$U$432:$U$787))</f>
        <v/>
      </c>
      <c r="V40" s="109" t="str">
        <f>IF($J40="","",IF(OR($J40="Litre",$J40="Tonne"),_xlfn.XLOOKUP(G40&amp;U40&amp;T40,Conversions!$E$20:$E$104,Conversions!$F$20:$F$104),INDEX(Conversions!$C$4:$I$10,MATCH('V2 - Purchased Electricity'!$T40,Conversions!$B$4:$B$10,0),MATCH('V2 - Purchased Electricity'!$U40,Conversions!$C$3:$I$3,0))))</f>
        <v/>
      </c>
      <c r="W40" s="326" t="str">
        <f>IF(J40="","",_xlfn.XLOOKUP(H40,'Emission Factors'!$M$432:$M$787,'Emission Factors'!$S$432:$S$787)*V40)</f>
        <v/>
      </c>
      <c r="X40" s="311" t="str">
        <f t="shared" si="10"/>
        <v/>
      </c>
      <c r="Y40" s="110" t="str">
        <f t="shared" si="11"/>
        <v/>
      </c>
      <c r="Z40" s="306" t="str">
        <f>IF(J40="","",_xlfn.XLOOKUP(H40,'Emission Factors'!$M446:$M802,'Emission Factors'!$W446:$W802))</f>
        <v/>
      </c>
      <c r="AA40" s="67"/>
      <c r="AB40" s="67"/>
      <c r="AC40" s="67"/>
      <c r="AD40" s="151"/>
    </row>
    <row r="41" spans="2:30">
      <c r="B41" s="4"/>
      <c r="C41" s="12"/>
      <c r="D41" s="123"/>
      <c r="E41" s="136"/>
      <c r="F41" s="131"/>
      <c r="G41" s="132" t="str">
        <f t="shared" si="12"/>
        <v/>
      </c>
      <c r="H41" s="132" t="str">
        <f t="shared" si="7"/>
        <v/>
      </c>
      <c r="I41" s="137"/>
      <c r="J41" s="131"/>
      <c r="K41" s="108" t="str">
        <f t="shared" si="13"/>
        <v/>
      </c>
      <c r="L41" s="108" t="str">
        <f>IF(J41="","",_xlfn.XLOOKUP(H41,'Emission Factors'!$M$177:$M$180,'Emission Factors'!$U$177:$U$180))</f>
        <v/>
      </c>
      <c r="M41" s="109" t="str">
        <f>IF(J41="","",INDEX(Conversions!$C$4:$I$10,MATCH('V2 - Purchased Electricity'!$K41,Conversions!$B$4:$B$10,0),MATCH('V2 - Purchased Electricity'!$L41,Conversions!$C$3:$I$3,0)))</f>
        <v/>
      </c>
      <c r="N41" s="310" t="str">
        <f>IF(J41="","",_xlfn.XLOOKUP(H41,'Emission Factors'!$M$177:$M$180,'Emission Factors'!$T$177:$T$180)*M41)</f>
        <v/>
      </c>
      <c r="O41" s="311" t="str">
        <f t="shared" si="14"/>
        <v/>
      </c>
      <c r="P41" s="134" t="str">
        <f t="shared" si="15"/>
        <v/>
      </c>
      <c r="Q41" s="306" t="str">
        <f>IF(J41="","",_xlfn.XLOOKUP(H41,'Emission Factors'!$M:$M,'Emission Factors'!$W:$W))</f>
        <v/>
      </c>
      <c r="R41" s="136"/>
      <c r="S41" s="67"/>
      <c r="T41" s="108" t="str">
        <f t="shared" si="9"/>
        <v/>
      </c>
      <c r="U41" s="108" t="str">
        <f>IF(J41="","",_xlfn.XLOOKUP(H41,'Emission Factors'!$M$432:$M$787,'Emission Factors'!$U$432:$U$787))</f>
        <v/>
      </c>
      <c r="V41" s="109" t="str">
        <f>IF($J41="","",IF(OR($J41="Litre",$J41="Tonne"),_xlfn.XLOOKUP(G41&amp;U41&amp;T41,Conversions!$E$20:$E$104,Conversions!$F$20:$F$104),INDEX(Conversions!$C$4:$I$10,MATCH('V2 - Purchased Electricity'!$T41,Conversions!$B$4:$B$10,0),MATCH('V2 - Purchased Electricity'!$U41,Conversions!$C$3:$I$3,0))))</f>
        <v/>
      </c>
      <c r="W41" s="326" t="str">
        <f>IF(J41="","",_xlfn.XLOOKUP(H41,'Emission Factors'!$M$432:$M$787,'Emission Factors'!$S$432:$S$787)*V41)</f>
        <v/>
      </c>
      <c r="X41" s="311" t="str">
        <f t="shared" si="10"/>
        <v/>
      </c>
      <c r="Y41" s="110" t="str">
        <f t="shared" si="11"/>
        <v/>
      </c>
      <c r="Z41" s="306" t="str">
        <f>IF(J41="","",_xlfn.XLOOKUP(H41,'Emission Factors'!$M447:$M803,'Emission Factors'!$W447:$W803))</f>
        <v/>
      </c>
      <c r="AA41" s="67"/>
      <c r="AB41" s="67"/>
      <c r="AC41" s="67"/>
      <c r="AD41" s="151"/>
    </row>
    <row r="42" spans="2:30">
      <c r="B42" s="4"/>
      <c r="C42" s="12"/>
      <c r="D42" s="123"/>
      <c r="E42" s="136"/>
      <c r="F42" s="131"/>
      <c r="G42" s="132" t="str">
        <f t="shared" si="12"/>
        <v/>
      </c>
      <c r="H42" s="132" t="str">
        <f t="shared" si="7"/>
        <v/>
      </c>
      <c r="I42" s="137"/>
      <c r="J42" s="131"/>
      <c r="K42" s="108" t="str">
        <f t="shared" si="13"/>
        <v/>
      </c>
      <c r="L42" s="108" t="str">
        <f>IF(J42="","",_xlfn.XLOOKUP(H42,'Emission Factors'!$M$177:$M$180,'Emission Factors'!$U$177:$U$180))</f>
        <v/>
      </c>
      <c r="M42" s="109" t="str">
        <f>IF(J42="","",INDEX(Conversions!$C$4:$I$10,MATCH('V2 - Purchased Electricity'!$K42,Conversions!$B$4:$B$10,0),MATCH('V2 - Purchased Electricity'!$L42,Conversions!$C$3:$I$3,0)))</f>
        <v/>
      </c>
      <c r="N42" s="310" t="str">
        <f>IF(J42="","",_xlfn.XLOOKUP(H42,'Emission Factors'!$M$177:$M$180,'Emission Factors'!$T$177:$T$180)*M42)</f>
        <v/>
      </c>
      <c r="O42" s="311" t="str">
        <f t="shared" si="14"/>
        <v/>
      </c>
      <c r="P42" s="134" t="str">
        <f t="shared" si="15"/>
        <v/>
      </c>
      <c r="Q42" s="306" t="str">
        <f>IF(J42="","",_xlfn.XLOOKUP(H42,'Emission Factors'!$M:$M,'Emission Factors'!$W:$W))</f>
        <v/>
      </c>
      <c r="R42" s="136"/>
      <c r="S42" s="67"/>
      <c r="T42" s="108" t="str">
        <f t="shared" si="9"/>
        <v/>
      </c>
      <c r="U42" s="108" t="str">
        <f>IF(J42="","",_xlfn.XLOOKUP(H42,'Emission Factors'!$M$432:$M$787,'Emission Factors'!$U$432:$U$787))</f>
        <v/>
      </c>
      <c r="V42" s="109" t="str">
        <f>IF($J42="","",IF(OR($J42="Litre",$J42="Tonne"),_xlfn.XLOOKUP(G42&amp;U42&amp;T42,Conversions!$E$20:$E$104,Conversions!$F$20:$F$104),INDEX(Conversions!$C$4:$I$10,MATCH('V2 - Purchased Electricity'!$T42,Conversions!$B$4:$B$10,0),MATCH('V2 - Purchased Electricity'!$U42,Conversions!$C$3:$I$3,0))))</f>
        <v/>
      </c>
      <c r="W42" s="326" t="str">
        <f>IF(J42="","",_xlfn.XLOOKUP(H42,'Emission Factors'!$M$432:$M$787,'Emission Factors'!$S$432:$S$787)*V42)</f>
        <v/>
      </c>
      <c r="X42" s="311" t="str">
        <f t="shared" si="10"/>
        <v/>
      </c>
      <c r="Y42" s="110" t="str">
        <f t="shared" si="11"/>
        <v/>
      </c>
      <c r="Z42" s="306" t="str">
        <f>IF(J42="","",_xlfn.XLOOKUP(H42,'Emission Factors'!$M448:$M804,'Emission Factors'!$W448:$W804))</f>
        <v/>
      </c>
      <c r="AA42" s="67"/>
      <c r="AB42" s="67"/>
      <c r="AC42" s="67"/>
      <c r="AD42" s="151"/>
    </row>
    <row r="43" spans="2:30">
      <c r="B43" s="4"/>
      <c r="C43" s="12"/>
      <c r="D43" s="123"/>
      <c r="E43" s="136"/>
      <c r="F43" s="131"/>
      <c r="G43" s="132" t="str">
        <f t="shared" si="12"/>
        <v/>
      </c>
      <c r="H43" s="132" t="str">
        <f t="shared" si="7"/>
        <v/>
      </c>
      <c r="I43" s="137"/>
      <c r="J43" s="131"/>
      <c r="K43" s="108" t="str">
        <f t="shared" si="13"/>
        <v/>
      </c>
      <c r="L43" s="108" t="str">
        <f>IF(J43="","",_xlfn.XLOOKUP(H43,'Emission Factors'!$M$177:$M$180,'Emission Factors'!$U$177:$U$180))</f>
        <v/>
      </c>
      <c r="M43" s="109" t="str">
        <f>IF(J43="","",INDEX(Conversions!$C$4:$I$10,MATCH('V2 - Purchased Electricity'!$K43,Conversions!$B$4:$B$10,0),MATCH('V2 - Purchased Electricity'!$L43,Conversions!$C$3:$I$3,0)))</f>
        <v/>
      </c>
      <c r="N43" s="310" t="str">
        <f>IF(J43="","",_xlfn.XLOOKUP(H43,'Emission Factors'!$M$177:$M$180,'Emission Factors'!$T$177:$T$180)*M43)</f>
        <v/>
      </c>
      <c r="O43" s="311" t="str">
        <f t="shared" si="14"/>
        <v/>
      </c>
      <c r="P43" s="134" t="str">
        <f t="shared" si="15"/>
        <v/>
      </c>
      <c r="Q43" s="306" t="str">
        <f>IF(J43="","",_xlfn.XLOOKUP(H43,'Emission Factors'!$M:$M,'Emission Factors'!$W:$W))</f>
        <v/>
      </c>
      <c r="R43" s="136"/>
      <c r="S43" s="67"/>
      <c r="T43" s="108" t="str">
        <f t="shared" si="9"/>
        <v/>
      </c>
      <c r="U43" s="108" t="str">
        <f>IF(J43="","",_xlfn.XLOOKUP(H43,'Emission Factors'!$M$432:$M$787,'Emission Factors'!$U$432:$U$787))</f>
        <v/>
      </c>
      <c r="V43" s="109" t="str">
        <f>IF($J43="","",IF(OR($J43="Litre",$J43="Tonne"),_xlfn.XLOOKUP(G43&amp;U43&amp;T43,Conversions!$E$20:$E$104,Conversions!$F$20:$F$104),INDEX(Conversions!$C$4:$I$10,MATCH('V2 - Purchased Electricity'!$T43,Conversions!$B$4:$B$10,0),MATCH('V2 - Purchased Electricity'!$U43,Conversions!$C$3:$I$3,0))))</f>
        <v/>
      </c>
      <c r="W43" s="326" t="str">
        <f>IF(J43="","",_xlfn.XLOOKUP(H43,'Emission Factors'!$M$432:$M$787,'Emission Factors'!$S$432:$S$787)*V43)</f>
        <v/>
      </c>
      <c r="X43" s="311" t="str">
        <f t="shared" si="10"/>
        <v/>
      </c>
      <c r="Y43" s="110" t="str">
        <f t="shared" si="11"/>
        <v/>
      </c>
      <c r="Z43" s="306" t="str">
        <f>IF(J43="","",_xlfn.XLOOKUP(H43,'Emission Factors'!$M449:$M805,'Emission Factors'!$W449:$W805))</f>
        <v/>
      </c>
      <c r="AA43" s="67"/>
      <c r="AB43" s="67"/>
      <c r="AC43" s="67"/>
      <c r="AD43" s="151"/>
    </row>
    <row r="44" spans="2:30">
      <c r="B44" s="4"/>
      <c r="C44" s="12"/>
      <c r="D44" s="123"/>
      <c r="E44" s="136"/>
      <c r="F44" s="131"/>
      <c r="G44" s="132" t="str">
        <f t="shared" si="12"/>
        <v/>
      </c>
      <c r="H44" s="132" t="str">
        <f t="shared" si="7"/>
        <v/>
      </c>
      <c r="I44" s="137"/>
      <c r="J44" s="131"/>
      <c r="K44" s="108" t="str">
        <f t="shared" si="13"/>
        <v/>
      </c>
      <c r="L44" s="108" t="str">
        <f>IF(J44="","",_xlfn.XLOOKUP(H44,'Emission Factors'!$M$177:$M$180,'Emission Factors'!$U$177:$U$180))</f>
        <v/>
      </c>
      <c r="M44" s="109" t="str">
        <f>IF(J44="","",INDEX(Conversions!$C$4:$I$10,MATCH('V2 - Purchased Electricity'!$K44,Conversions!$B$4:$B$10,0),MATCH('V2 - Purchased Electricity'!$L44,Conversions!$C$3:$I$3,0)))</f>
        <v/>
      </c>
      <c r="N44" s="310" t="str">
        <f>IF(J44="","",_xlfn.XLOOKUP(H44,'Emission Factors'!$M$177:$M$180,'Emission Factors'!$T$177:$T$180)*M44)</f>
        <v/>
      </c>
      <c r="O44" s="311" t="str">
        <f t="shared" si="14"/>
        <v/>
      </c>
      <c r="P44" s="134" t="str">
        <f t="shared" si="15"/>
        <v/>
      </c>
      <c r="Q44" s="306" t="str">
        <f>IF(J44="","",_xlfn.XLOOKUP(H44,'Emission Factors'!$M:$M,'Emission Factors'!$W:$W))</f>
        <v/>
      </c>
      <c r="R44" s="136"/>
      <c r="S44" s="67"/>
      <c r="T44" s="108" t="str">
        <f t="shared" si="9"/>
        <v/>
      </c>
      <c r="U44" s="108" t="str">
        <f>IF(J44="","",_xlfn.XLOOKUP(H44,'Emission Factors'!$M$432:$M$787,'Emission Factors'!$U$432:$U$787))</f>
        <v/>
      </c>
      <c r="V44" s="109" t="str">
        <f>IF($J44="","",IF(OR($J44="Litre",$J44="Tonne"),_xlfn.XLOOKUP(G44&amp;U44&amp;T44,Conversions!$E$20:$E$104,Conversions!$F$20:$F$104),INDEX(Conversions!$C$4:$I$10,MATCH('V2 - Purchased Electricity'!$T44,Conversions!$B$4:$B$10,0),MATCH('V2 - Purchased Electricity'!$U44,Conversions!$C$3:$I$3,0))))</f>
        <v/>
      </c>
      <c r="W44" s="326" t="str">
        <f>IF(J44="","",_xlfn.XLOOKUP(H44,'Emission Factors'!$M$432:$M$787,'Emission Factors'!$S$432:$S$787)*V44)</f>
        <v/>
      </c>
      <c r="X44" s="311" t="str">
        <f t="shared" si="10"/>
        <v/>
      </c>
      <c r="Y44" s="110" t="str">
        <f t="shared" si="11"/>
        <v/>
      </c>
      <c r="Z44" s="306" t="str">
        <f>IF(J44="","",_xlfn.XLOOKUP(H44,'Emission Factors'!$M450:$M806,'Emission Factors'!$W450:$W806))</f>
        <v/>
      </c>
      <c r="AA44" s="67"/>
      <c r="AB44" s="67"/>
      <c r="AC44" s="67"/>
      <c r="AD44" s="151"/>
    </row>
    <row r="45" spans="2:30">
      <c r="B45" s="4"/>
      <c r="C45" s="12"/>
      <c r="D45" s="123"/>
      <c r="E45" s="136"/>
      <c r="F45" s="131"/>
      <c r="G45" s="132" t="str">
        <f t="shared" si="12"/>
        <v/>
      </c>
      <c r="H45" s="132" t="str">
        <f t="shared" si="7"/>
        <v/>
      </c>
      <c r="I45" s="137"/>
      <c r="J45" s="131"/>
      <c r="K45" s="108" t="str">
        <f t="shared" si="13"/>
        <v/>
      </c>
      <c r="L45" s="108" t="str">
        <f>IF(J45="","",_xlfn.XLOOKUP(H45,'Emission Factors'!$M$177:$M$180,'Emission Factors'!$U$177:$U$180))</f>
        <v/>
      </c>
      <c r="M45" s="109" t="str">
        <f>IF(J45="","",INDEX(Conversions!$C$4:$I$10,MATCH('V2 - Purchased Electricity'!$K45,Conversions!$B$4:$B$10,0),MATCH('V2 - Purchased Electricity'!$L45,Conversions!$C$3:$I$3,0)))</f>
        <v/>
      </c>
      <c r="N45" s="310" t="str">
        <f>IF(J45="","",_xlfn.XLOOKUP(H45,'Emission Factors'!$M$177:$M$180,'Emission Factors'!$T$177:$T$180)*M45)</f>
        <v/>
      </c>
      <c r="O45" s="311" t="str">
        <f t="shared" si="14"/>
        <v/>
      </c>
      <c r="P45" s="134" t="str">
        <f t="shared" si="15"/>
        <v/>
      </c>
      <c r="Q45" s="306" t="str">
        <f>IF(J45="","",_xlfn.XLOOKUP(H45,'Emission Factors'!$M:$M,'Emission Factors'!$W:$W))</f>
        <v/>
      </c>
      <c r="R45" s="136"/>
      <c r="S45" s="67"/>
      <c r="T45" s="108" t="str">
        <f t="shared" si="9"/>
        <v/>
      </c>
      <c r="U45" s="108" t="str">
        <f>IF(J45="","",_xlfn.XLOOKUP(H45,'Emission Factors'!$M$432:$M$787,'Emission Factors'!$U$432:$U$787))</f>
        <v/>
      </c>
      <c r="V45" s="109" t="str">
        <f>IF($J45="","",IF(OR($J45="Litre",$J45="Tonne"),_xlfn.XLOOKUP(G45&amp;U45&amp;T45,Conversions!$E$20:$E$104,Conversions!$F$20:$F$104),INDEX(Conversions!$C$4:$I$10,MATCH('V2 - Purchased Electricity'!$T45,Conversions!$B$4:$B$10,0),MATCH('V2 - Purchased Electricity'!$U45,Conversions!$C$3:$I$3,0))))</f>
        <v/>
      </c>
      <c r="W45" s="326" t="str">
        <f>IF(J45="","",_xlfn.XLOOKUP(H45,'Emission Factors'!$M$432:$M$787,'Emission Factors'!$S$432:$S$787)*V45)</f>
        <v/>
      </c>
      <c r="X45" s="311" t="str">
        <f t="shared" si="10"/>
        <v/>
      </c>
      <c r="Y45" s="110" t="str">
        <f t="shared" si="11"/>
        <v/>
      </c>
      <c r="Z45" s="306" t="str">
        <f>IF(J45="","",_xlfn.XLOOKUP(H45,'Emission Factors'!$M451:$M807,'Emission Factors'!$W451:$W807))</f>
        <v/>
      </c>
      <c r="AA45" s="67"/>
      <c r="AB45" s="67"/>
      <c r="AC45" s="67"/>
      <c r="AD45" s="151"/>
    </row>
    <row r="46" spans="2:30">
      <c r="B46" s="4"/>
      <c r="C46" s="12"/>
      <c r="D46" s="123"/>
      <c r="E46" s="136"/>
      <c r="F46" s="131"/>
      <c r="G46" s="132" t="str">
        <f t="shared" si="12"/>
        <v/>
      </c>
      <c r="H46" s="132" t="str">
        <f t="shared" si="7"/>
        <v/>
      </c>
      <c r="I46" s="137"/>
      <c r="J46" s="131"/>
      <c r="K46" s="108" t="str">
        <f t="shared" si="13"/>
        <v/>
      </c>
      <c r="L46" s="108" t="str">
        <f>IF(J46="","",_xlfn.XLOOKUP(H46,'Emission Factors'!$M$177:$M$180,'Emission Factors'!$U$177:$U$180))</f>
        <v/>
      </c>
      <c r="M46" s="109" t="str">
        <f>IF(J46="","",INDEX(Conversions!$C$4:$I$10,MATCH('V2 - Purchased Electricity'!$K46,Conversions!$B$4:$B$10,0),MATCH('V2 - Purchased Electricity'!$L46,Conversions!$C$3:$I$3,0)))</f>
        <v/>
      </c>
      <c r="N46" s="310" t="str">
        <f>IF(J46="","",_xlfn.XLOOKUP(H46,'Emission Factors'!$M$177:$M$180,'Emission Factors'!$T$177:$T$180)*M46)</f>
        <v/>
      </c>
      <c r="O46" s="311" t="str">
        <f t="shared" si="14"/>
        <v/>
      </c>
      <c r="P46" s="134" t="str">
        <f t="shared" si="15"/>
        <v/>
      </c>
      <c r="Q46" s="306" t="str">
        <f>IF(J46="","",_xlfn.XLOOKUP(H46,'Emission Factors'!$M:$M,'Emission Factors'!$W:$W))</f>
        <v/>
      </c>
      <c r="R46" s="136"/>
      <c r="S46" s="67"/>
      <c r="T46" s="108" t="str">
        <f t="shared" si="9"/>
        <v/>
      </c>
      <c r="U46" s="108" t="str">
        <f>IF(J46="","",_xlfn.XLOOKUP(H46,'Emission Factors'!$M$432:$M$787,'Emission Factors'!$U$432:$U$787))</f>
        <v/>
      </c>
      <c r="V46" s="109" t="str">
        <f>IF($J46="","",IF(OR($J46="Litre",$J46="Tonne"),_xlfn.XLOOKUP(G46&amp;U46&amp;T46,Conversions!$E$20:$E$104,Conversions!$F$20:$F$104),INDEX(Conversions!$C$4:$I$10,MATCH('V2 - Purchased Electricity'!$T46,Conversions!$B$4:$B$10,0),MATCH('V2 - Purchased Electricity'!$U46,Conversions!$C$3:$I$3,0))))</f>
        <v/>
      </c>
      <c r="W46" s="326" t="str">
        <f>IF(J46="","",_xlfn.XLOOKUP(H46,'Emission Factors'!$M$432:$M$787,'Emission Factors'!$S$432:$S$787)*V46)</f>
        <v/>
      </c>
      <c r="X46" s="311" t="str">
        <f t="shared" si="10"/>
        <v/>
      </c>
      <c r="Y46" s="110" t="str">
        <f t="shared" si="11"/>
        <v/>
      </c>
      <c r="Z46" s="306" t="str">
        <f>IF(J46="","",_xlfn.XLOOKUP(H46,'Emission Factors'!$M452:$M808,'Emission Factors'!$W452:$W808))</f>
        <v/>
      </c>
      <c r="AA46" s="67"/>
      <c r="AB46" s="67"/>
      <c r="AC46" s="67"/>
      <c r="AD46" s="151"/>
    </row>
    <row r="47" spans="2:30">
      <c r="B47" s="4"/>
      <c r="C47" s="12"/>
      <c r="D47" s="123"/>
      <c r="E47" s="136"/>
      <c r="F47" s="131"/>
      <c r="G47" s="132" t="str">
        <f t="shared" si="12"/>
        <v/>
      </c>
      <c r="H47" s="132" t="str">
        <f t="shared" si="7"/>
        <v/>
      </c>
      <c r="I47" s="137"/>
      <c r="J47" s="131"/>
      <c r="K47" s="108" t="str">
        <f t="shared" si="13"/>
        <v/>
      </c>
      <c r="L47" s="108" t="str">
        <f>IF(J47="","",_xlfn.XLOOKUP(H47,'Emission Factors'!$M$177:$M$180,'Emission Factors'!$U$177:$U$180))</f>
        <v/>
      </c>
      <c r="M47" s="109" t="str">
        <f>IF(J47="","",INDEX(Conversions!$C$4:$I$10,MATCH('V2 - Purchased Electricity'!$K47,Conversions!$B$4:$B$10,0),MATCH('V2 - Purchased Electricity'!$L47,Conversions!$C$3:$I$3,0)))</f>
        <v/>
      </c>
      <c r="N47" s="310" t="str">
        <f>IF(J47="","",_xlfn.XLOOKUP(H47,'Emission Factors'!$M$177:$M$180,'Emission Factors'!$T$177:$T$180)*M47)</f>
        <v/>
      </c>
      <c r="O47" s="311" t="str">
        <f t="shared" si="14"/>
        <v/>
      </c>
      <c r="P47" s="134" t="str">
        <f t="shared" si="15"/>
        <v/>
      </c>
      <c r="Q47" s="306" t="str">
        <f>IF(J47="","",_xlfn.XLOOKUP(H47,'Emission Factors'!$M:$M,'Emission Factors'!$W:$W))</f>
        <v/>
      </c>
      <c r="R47" s="136"/>
      <c r="S47" s="67"/>
      <c r="T47" s="108" t="str">
        <f t="shared" si="9"/>
        <v/>
      </c>
      <c r="U47" s="108" t="str">
        <f>IF(J47="","",_xlfn.XLOOKUP(H47,'Emission Factors'!$M$432:$M$787,'Emission Factors'!$U$432:$U$787))</f>
        <v/>
      </c>
      <c r="V47" s="109" t="str">
        <f>IF($J47="","",IF(OR($J47="Litre",$J47="Tonne"),_xlfn.XLOOKUP(G47&amp;U47&amp;T47,Conversions!$E$20:$E$104,Conversions!$F$20:$F$104),INDEX(Conversions!$C$4:$I$10,MATCH('V2 - Purchased Electricity'!$T47,Conversions!$B$4:$B$10,0),MATCH('V2 - Purchased Electricity'!$U47,Conversions!$C$3:$I$3,0))))</f>
        <v/>
      </c>
      <c r="W47" s="326" t="str">
        <f>IF(J47="","",_xlfn.XLOOKUP(H47,'Emission Factors'!$M$432:$M$787,'Emission Factors'!$S$432:$S$787)*V47)</f>
        <v/>
      </c>
      <c r="X47" s="311" t="str">
        <f t="shared" si="10"/>
        <v/>
      </c>
      <c r="Y47" s="110" t="str">
        <f t="shared" si="11"/>
        <v/>
      </c>
      <c r="Z47" s="306" t="str">
        <f>IF(J47="","",_xlfn.XLOOKUP(H47,'Emission Factors'!$M453:$M809,'Emission Factors'!$W453:$W809))</f>
        <v/>
      </c>
      <c r="AA47" s="67"/>
      <c r="AB47" s="67"/>
      <c r="AC47" s="67"/>
      <c r="AD47" s="151"/>
    </row>
    <row r="48" spans="2:30">
      <c r="B48" s="4"/>
      <c r="C48" s="12"/>
      <c r="D48" s="123"/>
      <c r="E48" s="136"/>
      <c r="F48" s="131"/>
      <c r="G48" s="132" t="str">
        <f t="shared" si="12"/>
        <v/>
      </c>
      <c r="H48" s="132" t="str">
        <f t="shared" si="7"/>
        <v/>
      </c>
      <c r="I48" s="137"/>
      <c r="J48" s="131"/>
      <c r="K48" s="108" t="str">
        <f t="shared" si="13"/>
        <v/>
      </c>
      <c r="L48" s="108" t="str">
        <f>IF(J48="","",_xlfn.XLOOKUP(H48,'Emission Factors'!$M$177:$M$180,'Emission Factors'!$U$177:$U$180))</f>
        <v/>
      </c>
      <c r="M48" s="109" t="str">
        <f>IF(J48="","",INDEX(Conversions!$C$4:$I$10,MATCH('V2 - Purchased Electricity'!$K48,Conversions!$B$4:$B$10,0),MATCH('V2 - Purchased Electricity'!$L48,Conversions!$C$3:$I$3,0)))</f>
        <v/>
      </c>
      <c r="N48" s="310" t="str">
        <f>IF(J48="","",_xlfn.XLOOKUP(H48,'Emission Factors'!$M$177:$M$180,'Emission Factors'!$T$177:$T$180)*M48)</f>
        <v/>
      </c>
      <c r="O48" s="311" t="str">
        <f t="shared" si="14"/>
        <v/>
      </c>
      <c r="P48" s="134" t="str">
        <f t="shared" si="15"/>
        <v/>
      </c>
      <c r="Q48" s="306" t="str">
        <f>IF(J48="","",_xlfn.XLOOKUP(H48,'Emission Factors'!$M:$M,'Emission Factors'!$W:$W))</f>
        <v/>
      </c>
      <c r="R48" s="136"/>
      <c r="S48" s="67"/>
      <c r="T48" s="108" t="str">
        <f t="shared" si="9"/>
        <v/>
      </c>
      <c r="U48" s="108" t="str">
        <f>IF(J48="","",_xlfn.XLOOKUP(H48,'Emission Factors'!$M$432:$M$787,'Emission Factors'!$U$432:$U$787))</f>
        <v/>
      </c>
      <c r="V48" s="109" t="str">
        <f>IF($J48="","",IF(OR($J48="Litre",$J48="Tonne"),_xlfn.XLOOKUP(G48&amp;U48&amp;T48,Conversions!$E$20:$E$104,Conversions!$F$20:$F$104),INDEX(Conversions!$C$4:$I$10,MATCH('V2 - Purchased Electricity'!$T48,Conversions!$B$4:$B$10,0),MATCH('V2 - Purchased Electricity'!$U48,Conversions!$C$3:$I$3,0))))</f>
        <v/>
      </c>
      <c r="W48" s="326" t="str">
        <f>IF(J48="","",_xlfn.XLOOKUP(H48,'Emission Factors'!$M$432:$M$787,'Emission Factors'!$S$432:$S$787)*V48)</f>
        <v/>
      </c>
      <c r="X48" s="311" t="str">
        <f t="shared" si="10"/>
        <v/>
      </c>
      <c r="Y48" s="110" t="str">
        <f t="shared" si="11"/>
        <v/>
      </c>
      <c r="Z48" s="306" t="str">
        <f>IF(J48="","",_xlfn.XLOOKUP(H48,'Emission Factors'!$M454:$M810,'Emission Factors'!$W454:$W810))</f>
        <v/>
      </c>
      <c r="AA48" s="67"/>
      <c r="AB48" s="67"/>
      <c r="AC48" s="67"/>
      <c r="AD48" s="151"/>
    </row>
    <row r="49" spans="2:30">
      <c r="B49" s="4"/>
      <c r="C49" s="12"/>
      <c r="D49" s="123"/>
      <c r="E49" s="136"/>
      <c r="F49" s="131"/>
      <c r="G49" s="132" t="str">
        <f t="shared" si="12"/>
        <v/>
      </c>
      <c r="H49" s="132" t="str">
        <f t="shared" si="7"/>
        <v/>
      </c>
      <c r="I49" s="137"/>
      <c r="J49" s="131"/>
      <c r="K49" s="108" t="str">
        <f t="shared" si="13"/>
        <v/>
      </c>
      <c r="L49" s="108" t="str">
        <f>IF(J49="","",_xlfn.XLOOKUP(H49,'Emission Factors'!$M$177:$M$180,'Emission Factors'!$U$177:$U$180))</f>
        <v/>
      </c>
      <c r="M49" s="109" t="str">
        <f>IF(J49="","",INDEX(Conversions!$C$4:$I$10,MATCH('V2 - Purchased Electricity'!$K49,Conversions!$B$4:$B$10,0),MATCH('V2 - Purchased Electricity'!$L49,Conversions!$C$3:$I$3,0)))</f>
        <v/>
      </c>
      <c r="N49" s="310" t="str">
        <f>IF(J49="","",_xlfn.XLOOKUP(H49,'Emission Factors'!$M$177:$M$180,'Emission Factors'!$T$177:$T$180)*M49)</f>
        <v/>
      </c>
      <c r="O49" s="311" t="str">
        <f t="shared" si="14"/>
        <v/>
      </c>
      <c r="P49" s="134" t="str">
        <f t="shared" si="15"/>
        <v/>
      </c>
      <c r="Q49" s="306" t="str">
        <f>IF(J49="","",_xlfn.XLOOKUP(H49,'Emission Factors'!$M:$M,'Emission Factors'!$W:$W))</f>
        <v/>
      </c>
      <c r="R49" s="136"/>
      <c r="S49" s="67"/>
      <c r="T49" s="108" t="str">
        <f t="shared" si="9"/>
        <v/>
      </c>
      <c r="U49" s="108" t="str">
        <f>IF(J49="","",_xlfn.XLOOKUP(H49,'Emission Factors'!$M$432:$M$787,'Emission Factors'!$U$432:$U$787))</f>
        <v/>
      </c>
      <c r="V49" s="109" t="str">
        <f>IF($J49="","",IF(OR($J49="Litre",$J49="Tonne"),_xlfn.XLOOKUP(G49&amp;U49&amp;T49,Conversions!$E$20:$E$104,Conversions!$F$20:$F$104),INDEX(Conversions!$C$4:$I$10,MATCH('V2 - Purchased Electricity'!$T49,Conversions!$B$4:$B$10,0),MATCH('V2 - Purchased Electricity'!$U49,Conversions!$C$3:$I$3,0))))</f>
        <v/>
      </c>
      <c r="W49" s="326" t="str">
        <f>IF(J49="","",_xlfn.XLOOKUP(H49,'Emission Factors'!$M$432:$M$787,'Emission Factors'!$S$432:$S$787)*V49)</f>
        <v/>
      </c>
      <c r="X49" s="311" t="str">
        <f t="shared" si="10"/>
        <v/>
      </c>
      <c r="Y49" s="110" t="str">
        <f t="shared" si="11"/>
        <v/>
      </c>
      <c r="Z49" s="306" t="str">
        <f>IF(J49="","",_xlfn.XLOOKUP(H49,'Emission Factors'!$M455:$M811,'Emission Factors'!$W455:$W811))</f>
        <v/>
      </c>
      <c r="AA49" s="67"/>
      <c r="AB49" s="67"/>
      <c r="AC49" s="67"/>
      <c r="AD49" s="151"/>
    </row>
    <row r="50" spans="2:30">
      <c r="B50" s="4"/>
      <c r="C50" s="12"/>
      <c r="D50" s="123"/>
      <c r="E50" s="136"/>
      <c r="F50" s="131"/>
      <c r="G50" s="132" t="str">
        <f t="shared" si="12"/>
        <v/>
      </c>
      <c r="H50" s="132" t="str">
        <f t="shared" si="7"/>
        <v/>
      </c>
      <c r="I50" s="137"/>
      <c r="J50" s="131"/>
      <c r="K50" s="108" t="str">
        <f t="shared" si="13"/>
        <v/>
      </c>
      <c r="L50" s="108" t="str">
        <f>IF(J50="","",_xlfn.XLOOKUP(H50,'Emission Factors'!$M$177:$M$180,'Emission Factors'!$U$177:$U$180))</f>
        <v/>
      </c>
      <c r="M50" s="109" t="str">
        <f>IF(J50="","",INDEX(Conversions!$C$4:$I$10,MATCH('V2 - Purchased Electricity'!$K50,Conversions!$B$4:$B$10,0),MATCH('V2 - Purchased Electricity'!$L50,Conversions!$C$3:$I$3,0)))</f>
        <v/>
      </c>
      <c r="N50" s="310" t="str">
        <f>IF(J50="","",_xlfn.XLOOKUP(H50,'Emission Factors'!$M$177:$M$180,'Emission Factors'!$T$177:$T$180)*M50)</f>
        <v/>
      </c>
      <c r="O50" s="311" t="str">
        <f t="shared" si="14"/>
        <v/>
      </c>
      <c r="P50" s="134" t="str">
        <f t="shared" si="15"/>
        <v/>
      </c>
      <c r="Q50" s="306" t="str">
        <f>IF(J50="","",_xlfn.XLOOKUP(H50,'Emission Factors'!$M:$M,'Emission Factors'!$W:$W))</f>
        <v/>
      </c>
      <c r="R50" s="136"/>
      <c r="S50" s="67"/>
      <c r="T50" s="108" t="str">
        <f t="shared" si="9"/>
        <v/>
      </c>
      <c r="U50" s="108" t="str">
        <f>IF(J50="","",_xlfn.XLOOKUP(H50,'Emission Factors'!$M$432:$M$787,'Emission Factors'!$U$432:$U$787))</f>
        <v/>
      </c>
      <c r="V50" s="109" t="str">
        <f>IF($J50="","",IF(OR($J50="Litre",$J50="Tonne"),_xlfn.XLOOKUP(G50&amp;U50&amp;T50,Conversions!$E$20:$E$104,Conversions!$F$20:$F$104),INDEX(Conversions!$C$4:$I$10,MATCH('V2 - Purchased Electricity'!$T50,Conversions!$B$4:$B$10,0),MATCH('V2 - Purchased Electricity'!$U50,Conversions!$C$3:$I$3,0))))</f>
        <v/>
      </c>
      <c r="W50" s="326" t="str">
        <f>IF(J50="","",_xlfn.XLOOKUP(H50,'Emission Factors'!$M$432:$M$787,'Emission Factors'!$S$432:$S$787)*V50)</f>
        <v/>
      </c>
      <c r="X50" s="311" t="str">
        <f t="shared" si="10"/>
        <v/>
      </c>
      <c r="Y50" s="110" t="str">
        <f t="shared" si="11"/>
        <v/>
      </c>
      <c r="Z50" s="306" t="str">
        <f>IF(J50="","",_xlfn.XLOOKUP(H50,'Emission Factors'!$M456:$M812,'Emission Factors'!$W456:$W812))</f>
        <v/>
      </c>
      <c r="AA50" s="67"/>
      <c r="AB50" s="67"/>
      <c r="AC50" s="67"/>
      <c r="AD50" s="151"/>
    </row>
    <row r="51" spans="2:30">
      <c r="B51" s="4"/>
      <c r="C51" s="12"/>
      <c r="D51" s="123"/>
      <c r="E51" s="136"/>
      <c r="F51" s="131"/>
      <c r="G51" s="132" t="str">
        <f t="shared" si="12"/>
        <v/>
      </c>
      <c r="H51" s="132" t="str">
        <f t="shared" si="7"/>
        <v/>
      </c>
      <c r="I51" s="137"/>
      <c r="J51" s="131"/>
      <c r="K51" s="108" t="str">
        <f t="shared" si="13"/>
        <v/>
      </c>
      <c r="L51" s="108" t="str">
        <f>IF(J51="","",_xlfn.XLOOKUP(H51,'Emission Factors'!$M$177:$M$180,'Emission Factors'!$U$177:$U$180))</f>
        <v/>
      </c>
      <c r="M51" s="109" t="str">
        <f>IF(J51="","",INDEX(Conversions!$C$4:$I$10,MATCH('V2 - Purchased Electricity'!$K51,Conversions!$B$4:$B$10,0),MATCH('V2 - Purchased Electricity'!$L51,Conversions!$C$3:$I$3,0)))</f>
        <v/>
      </c>
      <c r="N51" s="310" t="str">
        <f>IF(J51="","",_xlfn.XLOOKUP(H51,'Emission Factors'!$M$177:$M$180,'Emission Factors'!$T$177:$T$180)*M51)</f>
        <v/>
      </c>
      <c r="O51" s="311" t="str">
        <f t="shared" si="14"/>
        <v/>
      </c>
      <c r="P51" s="134" t="str">
        <f t="shared" si="15"/>
        <v/>
      </c>
      <c r="Q51" s="306" t="str">
        <f>IF(J51="","",_xlfn.XLOOKUP(H51,'Emission Factors'!$M:$M,'Emission Factors'!$W:$W))</f>
        <v/>
      </c>
      <c r="R51" s="136"/>
      <c r="S51" s="67"/>
      <c r="T51" s="108" t="str">
        <f t="shared" si="9"/>
        <v/>
      </c>
      <c r="U51" s="108" t="str">
        <f>IF(J51="","",_xlfn.XLOOKUP(H51,'Emission Factors'!$M$432:$M$787,'Emission Factors'!$U$432:$U$787))</f>
        <v/>
      </c>
      <c r="V51" s="109" t="str">
        <f>IF($J51="","",IF(OR($J51="Litre",$J51="Tonne"),_xlfn.XLOOKUP(G51&amp;U51&amp;T51,Conversions!$E$20:$E$104,Conversions!$F$20:$F$104),INDEX(Conversions!$C$4:$I$10,MATCH('V2 - Purchased Electricity'!$T51,Conversions!$B$4:$B$10,0),MATCH('V2 - Purchased Electricity'!$U51,Conversions!$C$3:$I$3,0))))</f>
        <v/>
      </c>
      <c r="W51" s="326" t="str">
        <f>IF(J51="","",_xlfn.XLOOKUP(H51,'Emission Factors'!$M$432:$M$787,'Emission Factors'!$S$432:$S$787)*V51)</f>
        <v/>
      </c>
      <c r="X51" s="311" t="str">
        <f t="shared" si="10"/>
        <v/>
      </c>
      <c r="Y51" s="110" t="str">
        <f t="shared" si="11"/>
        <v/>
      </c>
      <c r="Z51" s="306" t="str">
        <f>IF(J51="","",_xlfn.XLOOKUP(H51,'Emission Factors'!$M457:$M813,'Emission Factors'!$W457:$W813))</f>
        <v/>
      </c>
      <c r="AA51" s="67"/>
      <c r="AB51" s="67"/>
      <c r="AC51" s="67"/>
      <c r="AD51" s="151"/>
    </row>
    <row r="52" spans="2:30">
      <c r="B52" s="4"/>
      <c r="C52" s="12"/>
      <c r="D52" s="123"/>
      <c r="E52" s="136"/>
      <c r="F52" s="131"/>
      <c r="G52" s="132" t="str">
        <f t="shared" si="12"/>
        <v/>
      </c>
      <c r="H52" s="132" t="str">
        <f t="shared" si="7"/>
        <v/>
      </c>
      <c r="I52" s="137"/>
      <c r="J52" s="131"/>
      <c r="K52" s="108" t="str">
        <f t="shared" si="13"/>
        <v/>
      </c>
      <c r="L52" s="108" t="str">
        <f>IF(J52="","",_xlfn.XLOOKUP(H52,'Emission Factors'!$M$177:$M$180,'Emission Factors'!$U$177:$U$180))</f>
        <v/>
      </c>
      <c r="M52" s="109" t="str">
        <f>IF(J52="","",INDEX(Conversions!$C$4:$I$10,MATCH('V2 - Purchased Electricity'!$K52,Conversions!$B$4:$B$10,0),MATCH('V2 - Purchased Electricity'!$L52,Conversions!$C$3:$I$3,0)))</f>
        <v/>
      </c>
      <c r="N52" s="310" t="str">
        <f>IF(J52="","",_xlfn.XLOOKUP(H52,'Emission Factors'!$M$177:$M$180,'Emission Factors'!$T$177:$T$180)*M52)</f>
        <v/>
      </c>
      <c r="O52" s="311" t="str">
        <f t="shared" si="14"/>
        <v/>
      </c>
      <c r="P52" s="134" t="str">
        <f t="shared" si="15"/>
        <v/>
      </c>
      <c r="Q52" s="306" t="str">
        <f>IF(J52="","",_xlfn.XLOOKUP(H52,'Emission Factors'!$M:$M,'Emission Factors'!$W:$W))</f>
        <v/>
      </c>
      <c r="R52" s="136"/>
      <c r="S52" s="67"/>
      <c r="T52" s="108" t="str">
        <f t="shared" si="9"/>
        <v/>
      </c>
      <c r="U52" s="108" t="str">
        <f>IF(J52="","",_xlfn.XLOOKUP(H52,'Emission Factors'!$M$432:$M$787,'Emission Factors'!$U$432:$U$787))</f>
        <v/>
      </c>
      <c r="V52" s="109" t="str">
        <f>IF($J52="","",IF(OR($J52="Litre",$J52="Tonne"),_xlfn.XLOOKUP(G52&amp;U52&amp;T52,Conversions!$E$20:$E$104,Conversions!$F$20:$F$104),INDEX(Conversions!$C$4:$I$10,MATCH('V2 - Purchased Electricity'!$T52,Conversions!$B$4:$B$10,0),MATCH('V2 - Purchased Electricity'!$U52,Conversions!$C$3:$I$3,0))))</f>
        <v/>
      </c>
      <c r="W52" s="326" t="str">
        <f>IF(J52="","",_xlfn.XLOOKUP(H52,'Emission Factors'!$M$432:$M$787,'Emission Factors'!$S$432:$S$787)*V52)</f>
        <v/>
      </c>
      <c r="X52" s="311" t="str">
        <f t="shared" si="10"/>
        <v/>
      </c>
      <c r="Y52" s="110" t="str">
        <f t="shared" si="11"/>
        <v/>
      </c>
      <c r="Z52" s="306" t="str">
        <f>IF(J52="","",_xlfn.XLOOKUP(H52,'Emission Factors'!$M458:$M814,'Emission Factors'!$W458:$W814))</f>
        <v/>
      </c>
      <c r="AA52" s="67"/>
      <c r="AB52" s="67"/>
      <c r="AC52" s="67"/>
      <c r="AD52" s="151"/>
    </row>
    <row r="53" spans="2:30">
      <c r="B53" s="4"/>
      <c r="C53" s="12"/>
      <c r="D53" s="123"/>
      <c r="E53" s="136"/>
      <c r="F53" s="131"/>
      <c r="G53" s="132" t="str">
        <f t="shared" ref="G53:G60" si="16">IF(F53="","","Electricity Use")</f>
        <v/>
      </c>
      <c r="H53" s="132" t="str">
        <f t="shared" ref="H53:H60" si="17">G53&amp;F53</f>
        <v/>
      </c>
      <c r="I53" s="137"/>
      <c r="J53" s="131"/>
      <c r="K53" s="108" t="str">
        <f t="shared" ref="K53:K60" si="18">IF(J53="","",J53)</f>
        <v/>
      </c>
      <c r="L53" s="108" t="str">
        <f>IF(J53="","",_xlfn.XLOOKUP(H53,'Emission Factors'!$M$177:$M$180,'Emission Factors'!$U$177:$U$180))</f>
        <v/>
      </c>
      <c r="M53" s="109" t="str">
        <f>IF(J53="","",INDEX(Conversions!$C$4:$I$10,MATCH('V2 - Purchased Electricity'!$K53,Conversions!$B$4:$B$10,0),MATCH('V2 - Purchased Electricity'!$L53,Conversions!$C$3:$I$3,0)))</f>
        <v/>
      </c>
      <c r="N53" s="310" t="str">
        <f>IF(J53="","",_xlfn.XLOOKUP(H53,'Emission Factors'!$M$177:$M$180,'Emission Factors'!$T$177:$T$180)*M53)</f>
        <v/>
      </c>
      <c r="O53" s="311" t="str">
        <f t="shared" ref="O53:O60" si="19">IF(J53="","","kgCO2e/"&amp;K53)</f>
        <v/>
      </c>
      <c r="P53" s="134" t="str">
        <f t="shared" ref="P53:P60" si="20">IF(ISBLANK(I53)=TRUE,"",IF(ISBLANK(N53)=TRUE,"",I53*N53)/1000)</f>
        <v/>
      </c>
      <c r="Q53" s="306" t="str">
        <f>IF(J53="","",_xlfn.XLOOKUP(H53,'Emission Factors'!$M:$M,'Emission Factors'!$W:$W))</f>
        <v/>
      </c>
      <c r="R53" s="136"/>
      <c r="S53" s="67"/>
      <c r="T53" s="108" t="str">
        <f t="shared" si="9"/>
        <v/>
      </c>
      <c r="U53" s="108" t="str">
        <f>IF(J53="","",_xlfn.XLOOKUP(H53,'Emission Factors'!$M$432:$M$787,'Emission Factors'!$U$432:$U$787))</f>
        <v/>
      </c>
      <c r="V53" s="109" t="str">
        <f>IF($J53="","",IF(OR($J53="Litre",$J53="Tonne"),_xlfn.XLOOKUP(G53&amp;U53&amp;T53,Conversions!$E$20:$E$104,Conversions!$F$20:$F$104),INDEX(Conversions!$C$4:$I$10,MATCH('V2 - Purchased Electricity'!$T53,Conversions!$B$4:$B$10,0),MATCH('V2 - Purchased Electricity'!$U53,Conversions!$C$3:$I$3,0))))</f>
        <v/>
      </c>
      <c r="W53" s="326" t="str">
        <f>IF(J53="","",_xlfn.XLOOKUP(H53,'Emission Factors'!$M$432:$M$787,'Emission Factors'!$S$432:$S$787)*V53)</f>
        <v/>
      </c>
      <c r="X53" s="311" t="str">
        <f t="shared" si="10"/>
        <v/>
      </c>
      <c r="Y53" s="110" t="str">
        <f t="shared" si="11"/>
        <v/>
      </c>
      <c r="Z53" s="306" t="str">
        <f>IF(J53="","",_xlfn.XLOOKUP(H53,'Emission Factors'!$M459:$M815,'Emission Factors'!$W459:$W815))</f>
        <v/>
      </c>
      <c r="AA53" s="67"/>
      <c r="AB53" s="67"/>
      <c r="AC53" s="67"/>
      <c r="AD53" s="151"/>
    </row>
    <row r="54" spans="2:30">
      <c r="B54" s="4"/>
      <c r="C54" s="12"/>
      <c r="D54" s="123"/>
      <c r="E54" s="136"/>
      <c r="F54" s="131"/>
      <c r="G54" s="132" t="str">
        <f t="shared" si="16"/>
        <v/>
      </c>
      <c r="H54" s="132" t="str">
        <f t="shared" si="17"/>
        <v/>
      </c>
      <c r="I54" s="137"/>
      <c r="J54" s="131"/>
      <c r="K54" s="108" t="str">
        <f t="shared" si="18"/>
        <v/>
      </c>
      <c r="L54" s="108" t="str">
        <f>IF(J54="","",_xlfn.XLOOKUP(H54,'Emission Factors'!$M$177:$M$180,'Emission Factors'!$U$177:$U$180))</f>
        <v/>
      </c>
      <c r="M54" s="109" t="str">
        <f>IF(J54="","",INDEX(Conversions!$C$4:$I$10,MATCH('V2 - Purchased Electricity'!$K54,Conversions!$B$4:$B$10,0),MATCH('V2 - Purchased Electricity'!$L54,Conversions!$C$3:$I$3,0)))</f>
        <v/>
      </c>
      <c r="N54" s="310" t="str">
        <f>IF(J54="","",_xlfn.XLOOKUP(H54,'Emission Factors'!$M$177:$M$180,'Emission Factors'!$T$177:$T$180)*M54)</f>
        <v/>
      </c>
      <c r="O54" s="311" t="str">
        <f t="shared" si="19"/>
        <v/>
      </c>
      <c r="P54" s="134" t="str">
        <f t="shared" si="20"/>
        <v/>
      </c>
      <c r="Q54" s="306" t="str">
        <f>IF(J54="","",_xlfn.XLOOKUP(H54,'Emission Factors'!$M:$M,'Emission Factors'!$W:$W))</f>
        <v/>
      </c>
      <c r="R54" s="136"/>
      <c r="S54" s="67"/>
      <c r="T54" s="108" t="str">
        <f t="shared" si="9"/>
        <v/>
      </c>
      <c r="U54" s="108" t="str">
        <f>IF(J54="","",_xlfn.XLOOKUP(H54,'Emission Factors'!$M$432:$M$787,'Emission Factors'!$U$432:$U$787))</f>
        <v/>
      </c>
      <c r="V54" s="109" t="str">
        <f>IF($J54="","",IF(OR($J54="Litre",$J54="Tonne"),_xlfn.XLOOKUP(G54&amp;U54&amp;T54,Conversions!$E$20:$E$104,Conversions!$F$20:$F$104),INDEX(Conversions!$C$4:$I$10,MATCH('V2 - Purchased Electricity'!$T54,Conversions!$B$4:$B$10,0),MATCH('V2 - Purchased Electricity'!$U54,Conversions!$C$3:$I$3,0))))</f>
        <v/>
      </c>
      <c r="W54" s="326" t="str">
        <f>IF(J54="","",_xlfn.XLOOKUP(H54,'Emission Factors'!$M$432:$M$787,'Emission Factors'!$S$432:$S$787)*V54)</f>
        <v/>
      </c>
      <c r="X54" s="311" t="str">
        <f t="shared" si="10"/>
        <v/>
      </c>
      <c r="Y54" s="110" t="str">
        <f t="shared" si="11"/>
        <v/>
      </c>
      <c r="Z54" s="306" t="str">
        <f>IF(J54="","",_xlfn.XLOOKUP(H54,'Emission Factors'!$M460:$M816,'Emission Factors'!$W460:$W816))</f>
        <v/>
      </c>
      <c r="AA54" s="67"/>
      <c r="AB54" s="67"/>
      <c r="AC54" s="67"/>
      <c r="AD54" s="151"/>
    </row>
    <row r="55" spans="2:30">
      <c r="B55" s="4"/>
      <c r="C55" s="12"/>
      <c r="D55" s="123"/>
      <c r="E55" s="136"/>
      <c r="F55" s="131"/>
      <c r="G55" s="132" t="str">
        <f t="shared" si="16"/>
        <v/>
      </c>
      <c r="H55" s="132" t="str">
        <f t="shared" si="17"/>
        <v/>
      </c>
      <c r="I55" s="137"/>
      <c r="J55" s="131"/>
      <c r="K55" s="108" t="str">
        <f t="shared" si="18"/>
        <v/>
      </c>
      <c r="L55" s="108" t="str">
        <f>IF(J55="","",_xlfn.XLOOKUP(H55,'Emission Factors'!$M$177:$M$180,'Emission Factors'!$U$177:$U$180))</f>
        <v/>
      </c>
      <c r="M55" s="109" t="str">
        <f>IF(J55="","",INDEX(Conversions!$C$4:$I$10,MATCH('V2 - Purchased Electricity'!$K55,Conversions!$B$4:$B$10,0),MATCH('V2 - Purchased Electricity'!$L55,Conversions!$C$3:$I$3,0)))</f>
        <v/>
      </c>
      <c r="N55" s="310" t="str">
        <f>IF(J55="","",_xlfn.XLOOKUP(H55,'Emission Factors'!$M$177:$M$180,'Emission Factors'!$T$177:$T$180)*M55)</f>
        <v/>
      </c>
      <c r="O55" s="311" t="str">
        <f t="shared" si="19"/>
        <v/>
      </c>
      <c r="P55" s="134" t="str">
        <f t="shared" si="20"/>
        <v/>
      </c>
      <c r="Q55" s="306" t="str">
        <f>IF(J55="","",_xlfn.XLOOKUP(H55,'Emission Factors'!$M:$M,'Emission Factors'!$W:$W))</f>
        <v/>
      </c>
      <c r="R55" s="136"/>
      <c r="S55" s="67"/>
      <c r="T55" s="108" t="str">
        <f t="shared" si="9"/>
        <v/>
      </c>
      <c r="U55" s="108" t="str">
        <f>IF(J55="","",_xlfn.XLOOKUP(H55,'Emission Factors'!$M$432:$M$787,'Emission Factors'!$U$432:$U$787))</f>
        <v/>
      </c>
      <c r="V55" s="109" t="str">
        <f>IF($J55="","",IF(OR($J55="Litre",$J55="Tonne"),_xlfn.XLOOKUP(G55&amp;U55&amp;T55,Conversions!$E$20:$E$104,Conversions!$F$20:$F$104),INDEX(Conversions!$C$4:$I$10,MATCH('V2 - Purchased Electricity'!$T55,Conversions!$B$4:$B$10,0),MATCH('V2 - Purchased Electricity'!$U55,Conversions!$C$3:$I$3,0))))</f>
        <v/>
      </c>
      <c r="W55" s="326" t="str">
        <f>IF(J55="","",_xlfn.XLOOKUP(H55,'Emission Factors'!$M$432:$M$787,'Emission Factors'!$S$432:$S$787)*V55)</f>
        <v/>
      </c>
      <c r="X55" s="311" t="str">
        <f t="shared" si="10"/>
        <v/>
      </c>
      <c r="Y55" s="110" t="str">
        <f t="shared" si="11"/>
        <v/>
      </c>
      <c r="Z55" s="306" t="str">
        <f>IF(J55="","",_xlfn.XLOOKUP(H55,'Emission Factors'!$M461:$M817,'Emission Factors'!$W461:$W817))</f>
        <v/>
      </c>
      <c r="AA55" s="67"/>
      <c r="AB55" s="67"/>
      <c r="AC55" s="67"/>
      <c r="AD55" s="151"/>
    </row>
    <row r="56" spans="2:30">
      <c r="B56" s="4"/>
      <c r="C56" s="12"/>
      <c r="D56" s="123"/>
      <c r="E56" s="136"/>
      <c r="F56" s="131"/>
      <c r="G56" s="132" t="str">
        <f t="shared" si="16"/>
        <v/>
      </c>
      <c r="H56" s="132" t="str">
        <f t="shared" si="17"/>
        <v/>
      </c>
      <c r="I56" s="137"/>
      <c r="J56" s="131"/>
      <c r="K56" s="108" t="str">
        <f t="shared" si="18"/>
        <v/>
      </c>
      <c r="L56" s="108" t="str">
        <f>IF(J56="","",_xlfn.XLOOKUP(H56,'Emission Factors'!$M$177:$M$180,'Emission Factors'!$U$177:$U$180))</f>
        <v/>
      </c>
      <c r="M56" s="109" t="str">
        <f>IF(J56="","",INDEX(Conversions!$C$4:$I$10,MATCH('V2 - Purchased Electricity'!$K56,Conversions!$B$4:$B$10,0),MATCH('V2 - Purchased Electricity'!$L56,Conversions!$C$3:$I$3,0)))</f>
        <v/>
      </c>
      <c r="N56" s="310" t="str">
        <f>IF(J56="","",_xlfn.XLOOKUP(H56,'Emission Factors'!$M$177:$M$180,'Emission Factors'!$T$177:$T$180)*M56)</f>
        <v/>
      </c>
      <c r="O56" s="311" t="str">
        <f t="shared" si="19"/>
        <v/>
      </c>
      <c r="P56" s="134" t="str">
        <f t="shared" si="20"/>
        <v/>
      </c>
      <c r="Q56" s="306" t="str">
        <f>IF(J56="","",_xlfn.XLOOKUP(H56,'Emission Factors'!$M:$M,'Emission Factors'!$W:$W))</f>
        <v/>
      </c>
      <c r="R56" s="136"/>
      <c r="S56" s="67"/>
      <c r="T56" s="108" t="str">
        <f t="shared" si="9"/>
        <v/>
      </c>
      <c r="U56" s="108" t="str">
        <f>IF(J56="","",_xlfn.XLOOKUP(H56,'Emission Factors'!$M$432:$M$787,'Emission Factors'!$U$432:$U$787))</f>
        <v/>
      </c>
      <c r="V56" s="109" t="str">
        <f>IF($J56="","",IF(OR($J56="Litre",$J56="Tonne"),_xlfn.XLOOKUP(G56&amp;U56&amp;T56,Conversions!$E$20:$E$104,Conversions!$F$20:$F$104),INDEX(Conversions!$C$4:$I$10,MATCH('V2 - Purchased Electricity'!$T56,Conversions!$B$4:$B$10,0),MATCH('V2 - Purchased Electricity'!$U56,Conversions!$C$3:$I$3,0))))</f>
        <v/>
      </c>
      <c r="W56" s="326" t="str">
        <f>IF(J56="","",_xlfn.XLOOKUP(H56,'Emission Factors'!$M$432:$M$787,'Emission Factors'!$S$432:$S$787)*V56)</f>
        <v/>
      </c>
      <c r="X56" s="311" t="str">
        <f t="shared" si="10"/>
        <v/>
      </c>
      <c r="Y56" s="110" t="str">
        <f t="shared" si="11"/>
        <v/>
      </c>
      <c r="Z56" s="306" t="str">
        <f>IF(J56="","",_xlfn.XLOOKUP(H56,'Emission Factors'!$M462:$M818,'Emission Factors'!$W462:$W818))</f>
        <v/>
      </c>
      <c r="AA56" s="67"/>
      <c r="AB56" s="67"/>
      <c r="AC56" s="67"/>
      <c r="AD56" s="151"/>
    </row>
    <row r="57" spans="2:30">
      <c r="B57" s="4"/>
      <c r="C57" s="12"/>
      <c r="D57" s="123"/>
      <c r="E57" s="136"/>
      <c r="F57" s="131"/>
      <c r="G57" s="132" t="str">
        <f t="shared" si="16"/>
        <v/>
      </c>
      <c r="H57" s="132" t="str">
        <f t="shared" si="17"/>
        <v/>
      </c>
      <c r="I57" s="137"/>
      <c r="J57" s="131"/>
      <c r="K57" s="108" t="str">
        <f t="shared" si="18"/>
        <v/>
      </c>
      <c r="L57" s="108" t="str">
        <f>IF(J57="","",_xlfn.XLOOKUP(H57,'Emission Factors'!$M$177:$M$180,'Emission Factors'!$U$177:$U$180))</f>
        <v/>
      </c>
      <c r="M57" s="109" t="str">
        <f>IF(J57="","",INDEX(Conversions!$C$4:$I$10,MATCH('V2 - Purchased Electricity'!$K57,Conversions!$B$4:$B$10,0),MATCH('V2 - Purchased Electricity'!$L57,Conversions!$C$3:$I$3,0)))</f>
        <v/>
      </c>
      <c r="N57" s="310" t="str">
        <f>IF(J57="","",_xlfn.XLOOKUP(H57,'Emission Factors'!$M$177:$M$180,'Emission Factors'!$T$177:$T$180)*M57)</f>
        <v/>
      </c>
      <c r="O57" s="311" t="str">
        <f t="shared" si="19"/>
        <v/>
      </c>
      <c r="P57" s="134" t="str">
        <f t="shared" si="20"/>
        <v/>
      </c>
      <c r="Q57" s="306" t="str">
        <f>IF(J57="","",_xlfn.XLOOKUP(H57,'Emission Factors'!$M:$M,'Emission Factors'!$W:$W))</f>
        <v/>
      </c>
      <c r="R57" s="136"/>
      <c r="S57" s="67"/>
      <c r="T57" s="108" t="str">
        <f t="shared" si="9"/>
        <v/>
      </c>
      <c r="U57" s="108" t="str">
        <f>IF(J57="","",_xlfn.XLOOKUP(H57,'Emission Factors'!$M$432:$M$787,'Emission Factors'!$U$432:$U$787))</f>
        <v/>
      </c>
      <c r="V57" s="109" t="str">
        <f>IF($J57="","",IF(OR($J57="Litre",$J57="Tonne"),_xlfn.XLOOKUP(G57&amp;U57&amp;T57,Conversions!$E$20:$E$104,Conversions!$F$20:$F$104),INDEX(Conversions!$C$4:$I$10,MATCH('V2 - Purchased Electricity'!$T57,Conversions!$B$4:$B$10,0),MATCH('V2 - Purchased Electricity'!$U57,Conversions!$C$3:$I$3,0))))</f>
        <v/>
      </c>
      <c r="W57" s="326" t="str">
        <f>IF(J57="","",_xlfn.XLOOKUP(H57,'Emission Factors'!$M$432:$M$787,'Emission Factors'!$S$432:$S$787)*V57)</f>
        <v/>
      </c>
      <c r="X57" s="311" t="str">
        <f t="shared" si="10"/>
        <v/>
      </c>
      <c r="Y57" s="110" t="str">
        <f t="shared" si="11"/>
        <v/>
      </c>
      <c r="Z57" s="306" t="str">
        <f>IF(J57="","",_xlfn.XLOOKUP(H57,'Emission Factors'!$M463:$M819,'Emission Factors'!$W463:$W819))</f>
        <v/>
      </c>
      <c r="AA57" s="67"/>
      <c r="AB57" s="67"/>
      <c r="AC57" s="67"/>
      <c r="AD57" s="151"/>
    </row>
    <row r="58" spans="2:30">
      <c r="B58" s="4"/>
      <c r="C58" s="12"/>
      <c r="D58" s="123"/>
      <c r="E58" s="136"/>
      <c r="F58" s="131"/>
      <c r="G58" s="132" t="str">
        <f t="shared" si="16"/>
        <v/>
      </c>
      <c r="H58" s="132" t="str">
        <f t="shared" si="17"/>
        <v/>
      </c>
      <c r="I58" s="137"/>
      <c r="J58" s="131"/>
      <c r="K58" s="108" t="str">
        <f t="shared" si="18"/>
        <v/>
      </c>
      <c r="L58" s="108" t="str">
        <f>IF(J58="","",_xlfn.XLOOKUP(H58,'Emission Factors'!$M$177:$M$180,'Emission Factors'!$U$177:$U$180))</f>
        <v/>
      </c>
      <c r="M58" s="109" t="str">
        <f>IF(J58="","",INDEX(Conversions!$C$4:$I$10,MATCH('V2 - Purchased Electricity'!$K58,Conversions!$B$4:$B$10,0),MATCH('V2 - Purchased Electricity'!$L58,Conversions!$C$3:$I$3,0)))</f>
        <v/>
      </c>
      <c r="N58" s="310" t="str">
        <f>IF(J58="","",_xlfn.XLOOKUP(H58,'Emission Factors'!$M$177:$M$180,'Emission Factors'!$T$177:$T$180)*M58)</f>
        <v/>
      </c>
      <c r="O58" s="311" t="str">
        <f t="shared" si="19"/>
        <v/>
      </c>
      <c r="P58" s="134" t="str">
        <f t="shared" si="20"/>
        <v/>
      </c>
      <c r="Q58" s="306" t="str">
        <f>IF(J58="","",_xlfn.XLOOKUP(H58,'Emission Factors'!$M:$M,'Emission Factors'!$W:$W))</f>
        <v/>
      </c>
      <c r="R58" s="136"/>
      <c r="S58" s="67"/>
      <c r="T58" s="108" t="str">
        <f t="shared" si="9"/>
        <v/>
      </c>
      <c r="U58" s="108" t="str">
        <f>IF(J58="","",_xlfn.XLOOKUP(H58,'Emission Factors'!$M$432:$M$787,'Emission Factors'!$U$432:$U$787))</f>
        <v/>
      </c>
      <c r="V58" s="109" t="str">
        <f>IF($J58="","",IF(OR($J58="Litre",$J58="Tonne"),_xlfn.XLOOKUP(G58&amp;U58&amp;T58,Conversions!$E$20:$E$104,Conversions!$F$20:$F$104),INDEX(Conversions!$C$4:$I$10,MATCH('V2 - Purchased Electricity'!$T58,Conversions!$B$4:$B$10,0),MATCH('V2 - Purchased Electricity'!$U58,Conversions!$C$3:$I$3,0))))</f>
        <v/>
      </c>
      <c r="W58" s="326" t="str">
        <f>IF(J58="","",_xlfn.XLOOKUP(H58,'Emission Factors'!$M$432:$M$787,'Emission Factors'!$S$432:$S$787)*V58)</f>
        <v/>
      </c>
      <c r="X58" s="311" t="str">
        <f t="shared" si="10"/>
        <v/>
      </c>
      <c r="Y58" s="110" t="str">
        <f t="shared" si="11"/>
        <v/>
      </c>
      <c r="Z58" s="306" t="str">
        <f>IF(J58="","",_xlfn.XLOOKUP(H58,'Emission Factors'!$M464:$M820,'Emission Factors'!$W464:$W820))</f>
        <v/>
      </c>
      <c r="AA58" s="67"/>
      <c r="AB58" s="67"/>
      <c r="AC58" s="67"/>
      <c r="AD58" s="151"/>
    </row>
    <row r="59" spans="2:30">
      <c r="B59" s="4"/>
      <c r="C59" s="12"/>
      <c r="D59" s="123"/>
      <c r="E59" s="136"/>
      <c r="F59" s="131"/>
      <c r="G59" s="132" t="str">
        <f t="shared" ref="G59" si="21">IF(F59="","","Electricity Use")</f>
        <v/>
      </c>
      <c r="H59" s="132" t="str">
        <f t="shared" ref="H59" si="22">G59&amp;F59</f>
        <v/>
      </c>
      <c r="I59" s="137"/>
      <c r="J59" s="131"/>
      <c r="K59" s="108" t="str">
        <f t="shared" ref="K59" si="23">IF(J59="","",J59)</f>
        <v/>
      </c>
      <c r="L59" s="108" t="str">
        <f>IF(J59="","",_xlfn.XLOOKUP(H59,'Emission Factors'!$M$177:$M$180,'Emission Factors'!$U$177:$U$180))</f>
        <v/>
      </c>
      <c r="M59" s="109" t="str">
        <f>IF(J59="","",INDEX(Conversions!$C$4:$I$10,MATCH('V2 - Purchased Electricity'!$K59,Conversions!$B$4:$B$10,0),MATCH('V2 - Purchased Electricity'!$L59,Conversions!$C$3:$I$3,0)))</f>
        <v/>
      </c>
      <c r="N59" s="310" t="str">
        <f>IF(J59="","",_xlfn.XLOOKUP(H59,'Emission Factors'!$M$177:$M$180,'Emission Factors'!$T$177:$T$180)*M59)</f>
        <v/>
      </c>
      <c r="O59" s="311" t="str">
        <f t="shared" ref="O59" si="24">IF(J59="","","kgCO2e/"&amp;K59)</f>
        <v/>
      </c>
      <c r="P59" s="134" t="str">
        <f t="shared" ref="P59" si="25">IF(ISBLANK(I59)=TRUE,"",IF(ISBLANK(N59)=TRUE,"",I59*N59)/1000)</f>
        <v/>
      </c>
      <c r="Q59" s="306" t="str">
        <f>IF(J59="","",_xlfn.XLOOKUP(H59,'Emission Factors'!$M:$M,'Emission Factors'!$W:$W))</f>
        <v/>
      </c>
      <c r="R59" s="136"/>
      <c r="S59" s="67"/>
      <c r="T59" s="108" t="str">
        <f t="shared" si="9"/>
        <v/>
      </c>
      <c r="U59" s="108" t="str">
        <f>IF(J59="","",_xlfn.XLOOKUP(H59,'Emission Factors'!$M$432:$M$787,'Emission Factors'!$U$432:$U$787))</f>
        <v/>
      </c>
      <c r="V59" s="109" t="str">
        <f>IF($J59="","",IF(OR($J59="Litre",$J59="Tonne"),_xlfn.XLOOKUP(G59&amp;U59&amp;T59,Conversions!$E$20:$E$104,Conversions!$F$20:$F$104),INDEX(Conversions!$C$4:$I$10,MATCH('V2 - Purchased Electricity'!$T59,Conversions!$B$4:$B$10,0),MATCH('V2 - Purchased Electricity'!$U59,Conversions!$C$3:$I$3,0))))</f>
        <v/>
      </c>
      <c r="W59" s="326" t="str">
        <f>IF(J59="","",_xlfn.XLOOKUP(H59,'Emission Factors'!$M$432:$M$787,'Emission Factors'!$S$432:$S$787)*V59)</f>
        <v/>
      </c>
      <c r="X59" s="311" t="str">
        <f t="shared" si="10"/>
        <v/>
      </c>
      <c r="Y59" s="110" t="str">
        <f t="shared" si="11"/>
        <v/>
      </c>
      <c r="Z59" s="306" t="str">
        <f>IF(J59="","",_xlfn.XLOOKUP(H59,'Emission Factors'!$M465:$M821,'Emission Factors'!$W465:$W821))</f>
        <v/>
      </c>
      <c r="AA59" s="67"/>
      <c r="AB59" s="67"/>
      <c r="AC59" s="67"/>
      <c r="AD59" s="151"/>
    </row>
    <row r="60" spans="2:30">
      <c r="B60" s="4"/>
      <c r="C60" s="12"/>
      <c r="D60" s="123"/>
      <c r="E60" s="136"/>
      <c r="F60" s="131"/>
      <c r="G60" s="132" t="str">
        <f t="shared" si="16"/>
        <v/>
      </c>
      <c r="H60" s="132" t="str">
        <f t="shared" si="17"/>
        <v/>
      </c>
      <c r="I60" s="137"/>
      <c r="J60" s="131"/>
      <c r="K60" s="108" t="str">
        <f t="shared" si="18"/>
        <v/>
      </c>
      <c r="L60" s="108" t="str">
        <f>IF(J60="","",_xlfn.XLOOKUP(H60,'Emission Factors'!$M$177:$M$180,'Emission Factors'!$U$177:$U$180))</f>
        <v/>
      </c>
      <c r="M60" s="109" t="str">
        <f>IF(J60="","",INDEX(Conversions!$C$4:$I$10,MATCH('V2 - Purchased Electricity'!$K60,Conversions!$B$4:$B$10,0),MATCH('V2 - Purchased Electricity'!$L60,Conversions!$C$3:$I$3,0)))</f>
        <v/>
      </c>
      <c r="N60" s="310" t="str">
        <f>IF(J60="","",_xlfn.XLOOKUP(H60,'Emission Factors'!$M$177:$M$180,'Emission Factors'!$T$177:$T$180)*M60)</f>
        <v/>
      </c>
      <c r="O60" s="311" t="str">
        <f t="shared" si="19"/>
        <v/>
      </c>
      <c r="P60" s="134" t="str">
        <f t="shared" si="20"/>
        <v/>
      </c>
      <c r="Q60" s="306" t="str">
        <f>IF(J60="","",_xlfn.XLOOKUP(H60,'Emission Factors'!$M:$M,'Emission Factors'!$W:$W))</f>
        <v/>
      </c>
      <c r="R60" s="136"/>
      <c r="S60" s="67"/>
      <c r="T60" s="108" t="str">
        <f t="shared" si="9"/>
        <v/>
      </c>
      <c r="U60" s="108" t="str">
        <f>IF(J60="","",_xlfn.XLOOKUP(H60,'Emission Factors'!$M$432:$M$787,'Emission Factors'!$U$432:$U$787))</f>
        <v/>
      </c>
      <c r="V60" s="109" t="str">
        <f>IF($J60="","",IF(OR($J60="Litre",$J60="Tonne"),_xlfn.XLOOKUP(G60&amp;U60&amp;T60,Conversions!$E$20:$E$104,Conversions!$F$20:$F$104),INDEX(Conversions!$C$4:$I$10,MATCH('V2 - Purchased Electricity'!$T60,Conversions!$B$4:$B$10,0),MATCH('V2 - Purchased Electricity'!$U60,Conversions!$C$3:$I$3,0))))</f>
        <v/>
      </c>
      <c r="W60" s="326" t="str">
        <f>IF(J60="","",_xlfn.XLOOKUP(H60,'Emission Factors'!$M$432:$M$787,'Emission Factors'!$S$432:$S$787)*V60)</f>
        <v/>
      </c>
      <c r="X60" s="311" t="str">
        <f t="shared" si="10"/>
        <v/>
      </c>
      <c r="Y60" s="110" t="str">
        <f t="shared" si="11"/>
        <v/>
      </c>
      <c r="Z60" s="306" t="str">
        <f>IF(J60="","",_xlfn.XLOOKUP(H60,'Emission Factors'!$M465:$M821,'Emission Factors'!$W465:$W821))</f>
        <v/>
      </c>
      <c r="AA60" s="67"/>
      <c r="AB60" s="67"/>
      <c r="AC60" s="67"/>
      <c r="AD60" s="151"/>
    </row>
    <row r="61" spans="2:30">
      <c r="B61" s="4"/>
      <c r="C61" s="12"/>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151"/>
    </row>
    <row r="62" spans="2:30" ht="15.75">
      <c r="B62" s="4"/>
      <c r="C62" s="12"/>
      <c r="D62" s="351" t="str">
        <f>'V1 - Refrigerants'!D62</f>
        <v>Samanlagt</v>
      </c>
      <c r="E62" s="119"/>
      <c r="F62" s="119"/>
      <c r="G62" s="119"/>
      <c r="H62" s="119"/>
      <c r="I62" s="119"/>
      <c r="J62" s="119"/>
      <c r="K62" s="119"/>
      <c r="L62" s="119"/>
      <c r="M62" s="119"/>
      <c r="N62" s="119"/>
      <c r="O62" s="119"/>
      <c r="P62" s="150">
        <f>SUM($P$31:$P$60)</f>
        <v>0</v>
      </c>
      <c r="Q62" s="119"/>
      <c r="R62" s="119"/>
      <c r="S62" s="118"/>
      <c r="T62" s="160"/>
      <c r="U62" s="161"/>
      <c r="V62" s="161"/>
      <c r="W62" s="119"/>
      <c r="X62" s="119"/>
      <c r="Y62" s="120">
        <f>SUM($Y$31:$Y$60)</f>
        <v>0</v>
      </c>
      <c r="Z62" s="119"/>
      <c r="AA62" s="67"/>
      <c r="AB62" s="67"/>
      <c r="AC62" s="67"/>
      <c r="AD62" s="151"/>
    </row>
    <row r="63" spans="2:30">
      <c r="B63" s="4"/>
      <c r="C63" s="12"/>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1"/>
    </row>
    <row r="64" spans="2:30" ht="17.25" hidden="1" customHeight="1">
      <c r="B64" s="4"/>
      <c r="C64" s="12"/>
      <c r="D64" s="67" t="s">
        <v>209</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1"/>
    </row>
    <row r="65" spans="2:30" ht="48.6" hidden="1" customHeight="1">
      <c r="B65" s="4"/>
      <c r="C65" s="12"/>
      <c r="D65" s="67" t="s">
        <v>210</v>
      </c>
      <c r="E65" s="67" t="s">
        <v>211</v>
      </c>
      <c r="F65" s="67" t="s">
        <v>236</v>
      </c>
      <c r="G65" s="67" t="s">
        <v>230</v>
      </c>
      <c r="H65" s="67" t="s">
        <v>185</v>
      </c>
      <c r="I65" s="67" t="s">
        <v>213</v>
      </c>
      <c r="J65" s="67" t="s">
        <v>214</v>
      </c>
      <c r="K65" s="67" t="s">
        <v>186</v>
      </c>
      <c r="L65" s="67" t="s">
        <v>187</v>
      </c>
      <c r="M65" s="67" t="s">
        <v>188</v>
      </c>
      <c r="N65" s="67" t="s">
        <v>215</v>
      </c>
      <c r="O65" s="67" t="s">
        <v>216</v>
      </c>
      <c r="P65" s="67" t="s">
        <v>217</v>
      </c>
      <c r="Q65" s="67" t="s">
        <v>218</v>
      </c>
      <c r="R65" s="67" t="s">
        <v>219</v>
      </c>
      <c r="S65" s="67"/>
      <c r="T65" s="67" t="s">
        <v>186</v>
      </c>
      <c r="U65" s="67" t="s">
        <v>187</v>
      </c>
      <c r="V65" s="67" t="s">
        <v>188</v>
      </c>
      <c r="W65" s="67" t="s">
        <v>215</v>
      </c>
      <c r="X65" s="67" t="s">
        <v>216</v>
      </c>
      <c r="Y65" s="67" t="s">
        <v>217</v>
      </c>
      <c r="Z65" s="67" t="s">
        <v>218</v>
      </c>
      <c r="AA65" s="67"/>
      <c r="AB65" s="67"/>
      <c r="AC65" s="67"/>
      <c r="AD65" s="151"/>
    </row>
    <row r="66" spans="2:30" hidden="1">
      <c r="B66" s="4"/>
      <c r="C66" s="12"/>
      <c r="D66" s="67"/>
      <c r="E66" s="67"/>
      <c r="F66" s="67"/>
      <c r="G66" s="67"/>
      <c r="H66" s="67"/>
      <c r="I66" s="67"/>
      <c r="J66" s="67"/>
      <c r="K66" s="67" t="str">
        <f>IF(J66="","",J66)</f>
        <v/>
      </c>
      <c r="L66" s="67"/>
      <c r="M66" s="67"/>
      <c r="N66" s="67"/>
      <c r="O66" s="67"/>
      <c r="P66" s="67" t="str">
        <f t="shared" ref="P66:P68" si="26">IF(ISBLANK(I66)=TRUE,"",IF(ISBLANK(N66)=TRUE,"",I66*N66)/1000)</f>
        <v/>
      </c>
      <c r="Q66" s="67"/>
      <c r="R66" s="67"/>
      <c r="S66" s="67"/>
      <c r="T66" s="67" t="str">
        <f t="shared" ref="T66:T95" si="27">K66</f>
        <v/>
      </c>
      <c r="U66" s="67" t="str">
        <f>IF(J66="","",_xlfn.XLOOKUP(H66,'Emission Factors'!$M$432:$M$787,'Emission Factors'!$U$432:$U$787))</f>
        <v/>
      </c>
      <c r="V66" s="67" t="str">
        <f>IF($J66="","",IF(OR($J66="Litre",$J66="Tonne"),_xlfn.XLOOKUP(G66&amp;U66&amp;T66,Conversions!$E$20:$E$104,Conversions!$F$20:$F$104),INDEX(Conversions!$C$4:$I$10,MATCH('V2 - Purchased Electricity'!$T66,Conversions!$B$4:$B$10,0),MATCH('V2 - Purchased Electricity'!$U66,Conversions!$C$3:$I$3,0))))</f>
        <v/>
      </c>
      <c r="W66" s="67" t="str">
        <f>IF(J66="","",_xlfn.XLOOKUP(H66,'Emission Factors'!$M$432:$M$787,'Emission Factors'!$S$432:$S$787)*V66)</f>
        <v/>
      </c>
      <c r="X66" s="67" t="str">
        <f t="shared" ref="X66:X95" si="28">IF(J66="","","kgCO2e/"&amp;T66)</f>
        <v/>
      </c>
      <c r="Y66" s="67" t="str">
        <f t="shared" ref="Y66:Y95" si="29">IF(ISBLANK(I66)=TRUE,"",IF(ISBLANK(W66)=TRUE,"",I66*W66)/1000)</f>
        <v/>
      </c>
      <c r="Z66" s="67" t="str">
        <f>IF(J66="","",_xlfn.XLOOKUP(H66,'Emission Factors'!$M472:$M828,'Emission Factors'!$W472:$W828))</f>
        <v/>
      </c>
      <c r="AA66" s="67"/>
      <c r="AB66" s="67"/>
      <c r="AC66" s="67"/>
      <c r="AD66" s="151"/>
    </row>
    <row r="67" spans="2:30" hidden="1">
      <c r="B67" s="4"/>
      <c r="C67" s="12"/>
      <c r="D67" s="67"/>
      <c r="E67" s="67"/>
      <c r="F67" s="67"/>
      <c r="G67" s="67"/>
      <c r="H67" s="67"/>
      <c r="I67" s="67"/>
      <c r="J67" s="67"/>
      <c r="K67" s="67" t="str">
        <f t="shared" ref="K67:K95" si="30">IF(J67="","",J67)</f>
        <v/>
      </c>
      <c r="L67" s="67"/>
      <c r="M67" s="67"/>
      <c r="N67" s="67"/>
      <c r="O67" s="67"/>
      <c r="P67" s="67" t="str">
        <f t="shared" si="26"/>
        <v/>
      </c>
      <c r="Q67" s="67"/>
      <c r="R67" s="67"/>
      <c r="S67" s="67"/>
      <c r="T67" s="67" t="str">
        <f t="shared" si="27"/>
        <v/>
      </c>
      <c r="U67" s="67" t="str">
        <f>IF(J67="","",_xlfn.XLOOKUP(H67,'Emission Factors'!$M$432:$M$787,'Emission Factors'!$U$432:$U$787))</f>
        <v/>
      </c>
      <c r="V67" s="67" t="str">
        <f>IF($J67="","",IF(OR($J67="Litre",$J67="Tonne"),_xlfn.XLOOKUP(G67&amp;U67&amp;T67,Conversions!$E$20:$E$104,Conversions!$F$20:$F$104),INDEX(Conversions!$C$4:$I$10,MATCH('V2 - Purchased Electricity'!$T67,Conversions!$B$4:$B$10,0),MATCH('V2 - Purchased Electricity'!$U67,Conversions!$C$3:$I$3,0))))</f>
        <v/>
      </c>
      <c r="W67" s="67" t="str">
        <f>IF(J67="","",_xlfn.XLOOKUP(H67,'Emission Factors'!$M$432:$M$787,'Emission Factors'!$S$432:$S$787)*V67)</f>
        <v/>
      </c>
      <c r="X67" s="67" t="str">
        <f t="shared" si="28"/>
        <v/>
      </c>
      <c r="Y67" s="67" t="str">
        <f t="shared" si="29"/>
        <v/>
      </c>
      <c r="Z67" s="67" t="str">
        <f>IF(J67="","",_xlfn.XLOOKUP(H67,'Emission Factors'!$M473:$M829,'Emission Factors'!$W473:$W829))</f>
        <v/>
      </c>
      <c r="AA67" s="67"/>
      <c r="AB67" s="67"/>
      <c r="AC67" s="67"/>
      <c r="AD67" s="151"/>
    </row>
    <row r="68" spans="2:30" hidden="1">
      <c r="B68" s="4"/>
      <c r="C68" s="12"/>
      <c r="D68" s="67"/>
      <c r="E68" s="67"/>
      <c r="F68" s="67"/>
      <c r="G68" s="67"/>
      <c r="H68" s="67"/>
      <c r="I68" s="67"/>
      <c r="J68" s="67"/>
      <c r="K68" s="67" t="str">
        <f t="shared" si="30"/>
        <v/>
      </c>
      <c r="L68" s="67"/>
      <c r="M68" s="67"/>
      <c r="N68" s="67"/>
      <c r="O68" s="67"/>
      <c r="P68" s="67" t="str">
        <f t="shared" si="26"/>
        <v/>
      </c>
      <c r="Q68" s="67"/>
      <c r="R68" s="67"/>
      <c r="S68" s="67"/>
      <c r="T68" s="67" t="str">
        <f t="shared" si="27"/>
        <v/>
      </c>
      <c r="U68" s="67" t="str">
        <f>IF(J68="","",_xlfn.XLOOKUP(H68,'Emission Factors'!$M$432:$M$787,'Emission Factors'!$U$432:$U$787))</f>
        <v/>
      </c>
      <c r="V68" s="67" t="str">
        <f>IF($J68="","",IF(OR($J68="Litre",$J68="Tonne"),_xlfn.XLOOKUP(G68&amp;U68&amp;T68,Conversions!$E$20:$E$104,Conversions!$F$20:$F$104),INDEX(Conversions!$C$4:$I$10,MATCH('V2 - Purchased Electricity'!$T68,Conversions!$B$4:$B$10,0),MATCH('V2 - Purchased Electricity'!$U68,Conversions!$C$3:$I$3,0))))</f>
        <v/>
      </c>
      <c r="W68" s="67" t="str">
        <f>IF(J68="","",_xlfn.XLOOKUP(H68,'Emission Factors'!$M$432:$M$787,'Emission Factors'!$S$432:$S$787)*V68)</f>
        <v/>
      </c>
      <c r="X68" s="67" t="str">
        <f t="shared" si="28"/>
        <v/>
      </c>
      <c r="Y68" s="67" t="str">
        <f t="shared" si="29"/>
        <v/>
      </c>
      <c r="Z68" s="67" t="str">
        <f>IF(J68="","",_xlfn.XLOOKUP(H68,'Emission Factors'!$M474:$M830,'Emission Factors'!$W474:$W830))</f>
        <v/>
      </c>
      <c r="AA68" s="67"/>
      <c r="AB68" s="67"/>
      <c r="AC68" s="67"/>
      <c r="AD68" s="151"/>
    </row>
    <row r="69" spans="2:30" hidden="1">
      <c r="B69" s="4"/>
      <c r="C69" s="12"/>
      <c r="D69" s="67"/>
      <c r="E69" s="67"/>
      <c r="F69" s="67"/>
      <c r="G69" s="67"/>
      <c r="H69" s="67"/>
      <c r="I69" s="67"/>
      <c r="J69" s="67"/>
      <c r="K69" s="67" t="str">
        <f t="shared" si="30"/>
        <v/>
      </c>
      <c r="L69" s="67"/>
      <c r="M69" s="67"/>
      <c r="N69" s="67"/>
      <c r="O69" s="67"/>
      <c r="P69" s="67" t="str">
        <f>IF(ISBLANK(I69)=TRUE,"",IF(ISBLANK(N69)=TRUE,"",I69*N69)/1000)</f>
        <v/>
      </c>
      <c r="Q69" s="67"/>
      <c r="R69" s="67"/>
      <c r="S69" s="67"/>
      <c r="T69" s="67" t="str">
        <f t="shared" si="27"/>
        <v/>
      </c>
      <c r="U69" s="67" t="str">
        <f>IF(J69="","",_xlfn.XLOOKUP(H69,'Emission Factors'!$M$432:$M$787,'Emission Factors'!$U$432:$U$787))</f>
        <v/>
      </c>
      <c r="V69" s="67" t="str">
        <f>IF($J69="","",IF(OR($J69="Litre",$J69="Tonne"),_xlfn.XLOOKUP(G69&amp;U69&amp;T69,Conversions!$E$20:$E$104,Conversions!$F$20:$F$104),INDEX(Conversions!$C$4:$I$10,MATCH('V2 - Purchased Electricity'!$T69,Conversions!$B$4:$B$10,0),MATCH('V2 - Purchased Electricity'!$U69,Conversions!$C$3:$I$3,0))))</f>
        <v/>
      </c>
      <c r="W69" s="67" t="str">
        <f>IF(J69="","",_xlfn.XLOOKUP(H69,'Emission Factors'!$M$432:$M$787,'Emission Factors'!$S$432:$S$787)*V69)</f>
        <v/>
      </c>
      <c r="X69" s="67" t="str">
        <f t="shared" si="28"/>
        <v/>
      </c>
      <c r="Y69" s="67" t="str">
        <f t="shared" si="29"/>
        <v/>
      </c>
      <c r="Z69" s="67" t="str">
        <f>IF(J69="","",_xlfn.XLOOKUP(H69,'Emission Factors'!$M475:$M831,'Emission Factors'!$W475:$W831))</f>
        <v/>
      </c>
      <c r="AA69" s="67"/>
      <c r="AB69" s="67"/>
      <c r="AC69" s="67"/>
      <c r="AD69" s="151"/>
    </row>
    <row r="70" spans="2:30" hidden="1">
      <c r="B70" s="4"/>
      <c r="C70" s="12"/>
      <c r="D70" s="67"/>
      <c r="E70" s="67"/>
      <c r="F70" s="67"/>
      <c r="G70" s="67"/>
      <c r="H70" s="67"/>
      <c r="I70" s="67"/>
      <c r="J70" s="67"/>
      <c r="K70" s="67" t="str">
        <f t="shared" si="30"/>
        <v/>
      </c>
      <c r="L70" s="67"/>
      <c r="M70" s="67"/>
      <c r="N70" s="67"/>
      <c r="O70" s="67"/>
      <c r="P70" s="67" t="str">
        <f t="shared" ref="P70:P95" si="31">IF(ISBLANK(I70)=TRUE,"",IF(ISBLANK(N70)=TRUE,"",I70*N70)/1000)</f>
        <v/>
      </c>
      <c r="Q70" s="67"/>
      <c r="R70" s="67"/>
      <c r="S70" s="67"/>
      <c r="T70" s="67" t="str">
        <f t="shared" si="27"/>
        <v/>
      </c>
      <c r="U70" s="67" t="str">
        <f>IF(J70="","",_xlfn.XLOOKUP(H70,'Emission Factors'!$M$432:$M$787,'Emission Factors'!$U$432:$U$787))</f>
        <v/>
      </c>
      <c r="V70" s="67" t="str">
        <f>IF($J70="","",IF(OR($J70="Litre",$J70="Tonne"),_xlfn.XLOOKUP(G70&amp;U70&amp;T70,Conversions!$E$20:$E$104,Conversions!$F$20:$F$104),INDEX(Conversions!$C$4:$I$10,MATCH('V2 - Purchased Electricity'!$T70,Conversions!$B$4:$B$10,0),MATCH('V2 - Purchased Electricity'!$U70,Conversions!$C$3:$I$3,0))))</f>
        <v/>
      </c>
      <c r="W70" s="67" t="str">
        <f>IF(J70="","",_xlfn.XLOOKUP(H70,'Emission Factors'!$M$432:$M$787,'Emission Factors'!$S$432:$S$787)*V70)</f>
        <v/>
      </c>
      <c r="X70" s="67" t="str">
        <f t="shared" si="28"/>
        <v/>
      </c>
      <c r="Y70" s="67" t="str">
        <f t="shared" si="29"/>
        <v/>
      </c>
      <c r="Z70" s="67" t="str">
        <f>IF(J70="","",_xlfn.XLOOKUP(H70,'Emission Factors'!$M476:$M832,'Emission Factors'!$W476:$W832))</f>
        <v/>
      </c>
      <c r="AA70" s="67"/>
      <c r="AB70" s="67"/>
      <c r="AC70" s="67"/>
      <c r="AD70" s="151"/>
    </row>
    <row r="71" spans="2:30" hidden="1">
      <c r="B71" s="4"/>
      <c r="C71" s="12"/>
      <c r="D71" s="67"/>
      <c r="E71" s="67"/>
      <c r="F71" s="67"/>
      <c r="G71" s="67"/>
      <c r="H71" s="67"/>
      <c r="I71" s="67"/>
      <c r="J71" s="67"/>
      <c r="K71" s="67" t="str">
        <f>IF(J71="","",J71)</f>
        <v/>
      </c>
      <c r="L71" s="67"/>
      <c r="M71" s="67"/>
      <c r="N71" s="67"/>
      <c r="O71" s="67"/>
      <c r="P71" s="67" t="str">
        <f t="shared" si="31"/>
        <v/>
      </c>
      <c r="Q71" s="67"/>
      <c r="R71" s="67"/>
      <c r="S71" s="67"/>
      <c r="T71" s="67" t="str">
        <f t="shared" si="27"/>
        <v/>
      </c>
      <c r="U71" s="67" t="str">
        <f>IF(J71="","",_xlfn.XLOOKUP(H71,'Emission Factors'!$M$432:$M$787,'Emission Factors'!$U$432:$U$787))</f>
        <v/>
      </c>
      <c r="V71" s="67" t="str">
        <f>IF($J71="","",IF(OR($J71="Litre",$J71="Tonne"),_xlfn.XLOOKUP(G71&amp;U71&amp;T71,Conversions!$E$20:$E$104,Conversions!$F$20:$F$104),INDEX(Conversions!$C$4:$I$10,MATCH('V2 - Purchased Electricity'!$T71,Conversions!$B$4:$B$10,0),MATCH('V2 - Purchased Electricity'!$U71,Conversions!$C$3:$I$3,0))))</f>
        <v/>
      </c>
      <c r="W71" s="67" t="str">
        <f>IF(J71="","",_xlfn.XLOOKUP(H71,'Emission Factors'!$M$432:$M$787,'Emission Factors'!$S$432:$S$787)*V71)</f>
        <v/>
      </c>
      <c r="X71" s="67" t="str">
        <f t="shared" si="28"/>
        <v/>
      </c>
      <c r="Y71" s="67" t="str">
        <f t="shared" si="29"/>
        <v/>
      </c>
      <c r="Z71" s="67" t="str">
        <f>IF(J71="","",_xlfn.XLOOKUP(H71,'Emission Factors'!$M477:$M833,'Emission Factors'!$W477:$W833))</f>
        <v/>
      </c>
      <c r="AA71" s="67"/>
      <c r="AB71" s="67"/>
      <c r="AC71" s="67"/>
      <c r="AD71" s="151"/>
    </row>
    <row r="72" spans="2:30" hidden="1">
      <c r="B72" s="4"/>
      <c r="C72" s="12"/>
      <c r="D72" s="67"/>
      <c r="E72" s="67"/>
      <c r="F72" s="67"/>
      <c r="G72" s="67"/>
      <c r="H72" s="67"/>
      <c r="I72" s="67"/>
      <c r="J72" s="67"/>
      <c r="K72" s="67" t="str">
        <f>IF(J72="","",J72)</f>
        <v/>
      </c>
      <c r="L72" s="67"/>
      <c r="M72" s="67"/>
      <c r="N72" s="67"/>
      <c r="O72" s="67"/>
      <c r="P72" s="67" t="str">
        <f t="shared" si="31"/>
        <v/>
      </c>
      <c r="Q72" s="67"/>
      <c r="R72" s="67"/>
      <c r="S72" s="67"/>
      <c r="T72" s="67" t="str">
        <f t="shared" si="27"/>
        <v/>
      </c>
      <c r="U72" s="67" t="str">
        <f>IF(J72="","",_xlfn.XLOOKUP(H72,'Emission Factors'!$M$432:$M$787,'Emission Factors'!$U$432:$U$787))</f>
        <v/>
      </c>
      <c r="V72" s="67" t="str">
        <f>IF($J72="","",IF(OR($J72="Litre",$J72="Tonne"),_xlfn.XLOOKUP(G72&amp;U72&amp;T72,Conversions!$E$20:$E$104,Conversions!$F$20:$F$104),INDEX(Conversions!$C$4:$I$10,MATCH('V2 - Purchased Electricity'!$T72,Conversions!$B$4:$B$10,0),MATCH('V2 - Purchased Electricity'!$U72,Conversions!$C$3:$I$3,0))))</f>
        <v/>
      </c>
      <c r="W72" s="67" t="str">
        <f>IF(J72="","",_xlfn.XLOOKUP(H72,'Emission Factors'!$M$432:$M$787,'Emission Factors'!$S$432:$S$787)*V72)</f>
        <v/>
      </c>
      <c r="X72" s="67" t="str">
        <f t="shared" si="28"/>
        <v/>
      </c>
      <c r="Y72" s="67" t="str">
        <f t="shared" si="29"/>
        <v/>
      </c>
      <c r="Z72" s="67" t="str">
        <f>IF(J72="","",_xlfn.XLOOKUP(H72,'Emission Factors'!$M478:$M834,'Emission Factors'!$W478:$W834))</f>
        <v/>
      </c>
      <c r="AA72" s="67"/>
      <c r="AB72" s="67"/>
      <c r="AC72" s="67"/>
      <c r="AD72" s="151"/>
    </row>
    <row r="73" spans="2:30" hidden="1">
      <c r="B73" s="4"/>
      <c r="C73" s="12"/>
      <c r="D73" s="67"/>
      <c r="E73" s="67"/>
      <c r="F73" s="67"/>
      <c r="G73" s="67"/>
      <c r="H73" s="67"/>
      <c r="I73" s="67"/>
      <c r="J73" s="67"/>
      <c r="K73" s="67" t="str">
        <f t="shared" si="30"/>
        <v/>
      </c>
      <c r="L73" s="67"/>
      <c r="M73" s="67"/>
      <c r="N73" s="67"/>
      <c r="O73" s="67"/>
      <c r="P73" s="67" t="str">
        <f t="shared" si="31"/>
        <v/>
      </c>
      <c r="Q73" s="67"/>
      <c r="R73" s="67"/>
      <c r="S73" s="67"/>
      <c r="T73" s="67" t="str">
        <f t="shared" si="27"/>
        <v/>
      </c>
      <c r="U73" s="67" t="str">
        <f>IF(J73="","",_xlfn.XLOOKUP(H73,'Emission Factors'!$M$432:$M$787,'Emission Factors'!$U$432:$U$787))</f>
        <v/>
      </c>
      <c r="V73" s="67" t="str">
        <f>IF($J73="","",IF(OR($J73="Litre",$J73="Tonne"),_xlfn.XLOOKUP(G73&amp;U73&amp;T73,Conversions!$E$20:$E$104,Conversions!$F$20:$F$104),INDEX(Conversions!$C$4:$I$10,MATCH('V2 - Purchased Electricity'!$T73,Conversions!$B$4:$B$10,0),MATCH('V2 - Purchased Electricity'!$U73,Conversions!$C$3:$I$3,0))))</f>
        <v/>
      </c>
      <c r="W73" s="67" t="str">
        <f>IF(J73="","",_xlfn.XLOOKUP(H73,'Emission Factors'!$M$432:$M$787,'Emission Factors'!$S$432:$S$787)*V73)</f>
        <v/>
      </c>
      <c r="X73" s="67" t="str">
        <f t="shared" si="28"/>
        <v/>
      </c>
      <c r="Y73" s="67" t="str">
        <f t="shared" si="29"/>
        <v/>
      </c>
      <c r="Z73" s="67" t="str">
        <f>IF(J73="","",_xlfn.XLOOKUP(H73,'Emission Factors'!$M479:$M835,'Emission Factors'!$W479:$W835))</f>
        <v/>
      </c>
      <c r="AA73" s="67"/>
      <c r="AB73" s="67"/>
      <c r="AC73" s="67"/>
      <c r="AD73" s="151"/>
    </row>
    <row r="74" spans="2:30" hidden="1">
      <c r="B74" s="4"/>
      <c r="C74" s="12"/>
      <c r="D74" s="67"/>
      <c r="E74" s="67"/>
      <c r="F74" s="67"/>
      <c r="G74" s="67"/>
      <c r="H74" s="67"/>
      <c r="I74" s="67"/>
      <c r="J74" s="67"/>
      <c r="K74" s="67" t="str">
        <f t="shared" si="30"/>
        <v/>
      </c>
      <c r="L74" s="67"/>
      <c r="M74" s="67"/>
      <c r="N74" s="67"/>
      <c r="O74" s="67"/>
      <c r="P74" s="67" t="str">
        <f t="shared" si="31"/>
        <v/>
      </c>
      <c r="Q74" s="67"/>
      <c r="R74" s="67"/>
      <c r="S74" s="67"/>
      <c r="T74" s="67" t="str">
        <f t="shared" si="27"/>
        <v/>
      </c>
      <c r="U74" s="67" t="str">
        <f>IF(J74="","",_xlfn.XLOOKUP(H74,'Emission Factors'!$M$432:$M$787,'Emission Factors'!$U$432:$U$787))</f>
        <v/>
      </c>
      <c r="V74" s="67" t="str">
        <f>IF($J74="","",IF(OR($J74="Litre",$J74="Tonne"),_xlfn.XLOOKUP(G74&amp;U74&amp;T74,Conversions!$E$20:$E$104,Conversions!$F$20:$F$104),INDEX(Conversions!$C$4:$I$10,MATCH('V2 - Purchased Electricity'!$T74,Conversions!$B$4:$B$10,0),MATCH('V2 - Purchased Electricity'!$U74,Conversions!$C$3:$I$3,0))))</f>
        <v/>
      </c>
      <c r="W74" s="67" t="str">
        <f>IF(J74="","",_xlfn.XLOOKUP(H74,'Emission Factors'!$M$432:$M$787,'Emission Factors'!$S$432:$S$787)*V74)</f>
        <v/>
      </c>
      <c r="X74" s="67" t="str">
        <f t="shared" si="28"/>
        <v/>
      </c>
      <c r="Y74" s="67" t="str">
        <f t="shared" si="29"/>
        <v/>
      </c>
      <c r="Z74" s="67" t="str">
        <f>IF(J74="","",_xlfn.XLOOKUP(H74,'Emission Factors'!$M480:$M836,'Emission Factors'!$W480:$W836))</f>
        <v/>
      </c>
      <c r="AA74" s="67"/>
      <c r="AB74" s="67"/>
      <c r="AC74" s="67"/>
      <c r="AD74" s="151"/>
    </row>
    <row r="75" spans="2:30" hidden="1">
      <c r="B75" s="4"/>
      <c r="C75" s="12"/>
      <c r="D75" s="67"/>
      <c r="E75" s="67"/>
      <c r="F75" s="67"/>
      <c r="G75" s="67"/>
      <c r="H75" s="67"/>
      <c r="I75" s="67"/>
      <c r="J75" s="67"/>
      <c r="K75" s="67" t="str">
        <f t="shared" si="30"/>
        <v/>
      </c>
      <c r="L75" s="67"/>
      <c r="M75" s="67"/>
      <c r="N75" s="67"/>
      <c r="O75" s="67"/>
      <c r="P75" s="67" t="str">
        <f t="shared" si="31"/>
        <v/>
      </c>
      <c r="Q75" s="67"/>
      <c r="R75" s="67"/>
      <c r="S75" s="67"/>
      <c r="T75" s="67" t="str">
        <f t="shared" si="27"/>
        <v/>
      </c>
      <c r="U75" s="67" t="str">
        <f>IF(J75="","",_xlfn.XLOOKUP(H75,'Emission Factors'!$M$432:$M$787,'Emission Factors'!$U$432:$U$787))</f>
        <v/>
      </c>
      <c r="V75" s="67" t="str">
        <f>IF($J75="","",IF(OR($J75="Litre",$J75="Tonne"),_xlfn.XLOOKUP(G75&amp;U75&amp;T75,Conversions!$E$20:$E$104,Conversions!$F$20:$F$104),INDEX(Conversions!$C$4:$I$10,MATCH('V2 - Purchased Electricity'!$T75,Conversions!$B$4:$B$10,0),MATCH('V2 - Purchased Electricity'!$U75,Conversions!$C$3:$I$3,0))))</f>
        <v/>
      </c>
      <c r="W75" s="67" t="str">
        <f>IF(J75="","",_xlfn.XLOOKUP(H75,'Emission Factors'!$M$432:$M$787,'Emission Factors'!$S$432:$S$787)*V75)</f>
        <v/>
      </c>
      <c r="X75" s="67" t="str">
        <f t="shared" si="28"/>
        <v/>
      </c>
      <c r="Y75" s="67" t="str">
        <f t="shared" si="29"/>
        <v/>
      </c>
      <c r="Z75" s="67" t="str">
        <f>IF(J75="","",_xlfn.XLOOKUP(H75,'Emission Factors'!$M481:$M837,'Emission Factors'!$W481:$W837))</f>
        <v/>
      </c>
      <c r="AA75" s="67"/>
      <c r="AB75" s="67"/>
      <c r="AC75" s="67"/>
      <c r="AD75" s="151"/>
    </row>
    <row r="76" spans="2:30" hidden="1">
      <c r="B76" s="4"/>
      <c r="C76" s="12"/>
      <c r="D76" s="67"/>
      <c r="E76" s="67"/>
      <c r="F76" s="67"/>
      <c r="G76" s="67"/>
      <c r="H76" s="67"/>
      <c r="I76" s="67"/>
      <c r="J76" s="67"/>
      <c r="K76" s="67" t="str">
        <f t="shared" si="30"/>
        <v/>
      </c>
      <c r="L76" s="67"/>
      <c r="M76" s="67"/>
      <c r="N76" s="67"/>
      <c r="O76" s="67"/>
      <c r="P76" s="67" t="str">
        <f t="shared" si="31"/>
        <v/>
      </c>
      <c r="Q76" s="67"/>
      <c r="R76" s="67"/>
      <c r="S76" s="67"/>
      <c r="T76" s="67" t="str">
        <f t="shared" si="27"/>
        <v/>
      </c>
      <c r="U76" s="67" t="str">
        <f>IF(J76="","",_xlfn.XLOOKUP(H76,'Emission Factors'!$M$432:$M$787,'Emission Factors'!$U$432:$U$787))</f>
        <v/>
      </c>
      <c r="V76" s="67" t="str">
        <f>IF($J76="","",IF(OR($J76="Litre",$J76="Tonne"),_xlfn.XLOOKUP(G76&amp;U76&amp;T76,Conversions!$E$20:$E$104,Conversions!$F$20:$F$104),INDEX(Conversions!$C$4:$I$10,MATCH('V2 - Purchased Electricity'!$T76,Conversions!$B$4:$B$10,0),MATCH('V2 - Purchased Electricity'!$U76,Conversions!$C$3:$I$3,0))))</f>
        <v/>
      </c>
      <c r="W76" s="67" t="str">
        <f>IF(J76="","",_xlfn.XLOOKUP(H76,'Emission Factors'!$M$432:$M$787,'Emission Factors'!$S$432:$S$787)*V76)</f>
        <v/>
      </c>
      <c r="X76" s="67" t="str">
        <f t="shared" si="28"/>
        <v/>
      </c>
      <c r="Y76" s="67" t="str">
        <f t="shared" si="29"/>
        <v/>
      </c>
      <c r="Z76" s="67" t="str">
        <f>IF(J76="","",_xlfn.XLOOKUP(H76,'Emission Factors'!$M482:$M838,'Emission Factors'!$W482:$W838))</f>
        <v/>
      </c>
      <c r="AA76" s="67"/>
      <c r="AB76" s="67"/>
      <c r="AC76" s="67"/>
      <c r="AD76" s="151"/>
    </row>
    <row r="77" spans="2:30" hidden="1">
      <c r="B77" s="4"/>
      <c r="C77" s="12"/>
      <c r="D77" s="67"/>
      <c r="E77" s="67"/>
      <c r="F77" s="67"/>
      <c r="G77" s="67"/>
      <c r="H77" s="67"/>
      <c r="I77" s="67"/>
      <c r="J77" s="67"/>
      <c r="K77" s="67" t="str">
        <f t="shared" si="30"/>
        <v/>
      </c>
      <c r="L77" s="67"/>
      <c r="M77" s="67"/>
      <c r="N77" s="67"/>
      <c r="O77" s="67"/>
      <c r="P77" s="67" t="str">
        <f t="shared" si="31"/>
        <v/>
      </c>
      <c r="Q77" s="67"/>
      <c r="R77" s="67"/>
      <c r="S77" s="67"/>
      <c r="T77" s="67" t="str">
        <f t="shared" si="27"/>
        <v/>
      </c>
      <c r="U77" s="67" t="str">
        <f>IF(J77="","",_xlfn.XLOOKUP(H77,'Emission Factors'!$M$432:$M$787,'Emission Factors'!$U$432:$U$787))</f>
        <v/>
      </c>
      <c r="V77" s="67" t="str">
        <f>IF($J77="","",IF(OR($J77="Litre",$J77="Tonne"),_xlfn.XLOOKUP(G77&amp;U77&amp;T77,Conversions!$E$20:$E$104,Conversions!$F$20:$F$104),INDEX(Conversions!$C$4:$I$10,MATCH('V2 - Purchased Electricity'!$T77,Conversions!$B$4:$B$10,0),MATCH('V2 - Purchased Electricity'!$U77,Conversions!$C$3:$I$3,0))))</f>
        <v/>
      </c>
      <c r="W77" s="67" t="str">
        <f>IF(J77="","",_xlfn.XLOOKUP(H77,'Emission Factors'!$M$432:$M$787,'Emission Factors'!$S$432:$S$787)*V77)</f>
        <v/>
      </c>
      <c r="X77" s="67" t="str">
        <f t="shared" si="28"/>
        <v/>
      </c>
      <c r="Y77" s="67" t="str">
        <f t="shared" si="29"/>
        <v/>
      </c>
      <c r="Z77" s="67" t="str">
        <f>IF(J77="","",_xlfn.XLOOKUP(H77,'Emission Factors'!$M483:$M839,'Emission Factors'!$W483:$W839))</f>
        <v/>
      </c>
      <c r="AA77" s="67"/>
      <c r="AB77" s="67"/>
      <c r="AC77" s="67"/>
      <c r="AD77" s="151"/>
    </row>
    <row r="78" spans="2:30" hidden="1">
      <c r="B78" s="4"/>
      <c r="C78" s="12"/>
      <c r="D78" s="67"/>
      <c r="E78" s="67"/>
      <c r="F78" s="67"/>
      <c r="G78" s="67"/>
      <c r="H78" s="67"/>
      <c r="I78" s="67"/>
      <c r="J78" s="67"/>
      <c r="K78" s="67" t="str">
        <f t="shared" si="30"/>
        <v/>
      </c>
      <c r="L78" s="67"/>
      <c r="M78" s="67"/>
      <c r="N78" s="67"/>
      <c r="O78" s="67"/>
      <c r="P78" s="67" t="str">
        <f t="shared" si="31"/>
        <v/>
      </c>
      <c r="Q78" s="67"/>
      <c r="R78" s="67"/>
      <c r="S78" s="67"/>
      <c r="T78" s="67" t="str">
        <f t="shared" si="27"/>
        <v/>
      </c>
      <c r="U78" s="67" t="str">
        <f>IF(J78="","",_xlfn.XLOOKUP(H78,'Emission Factors'!$M$432:$M$787,'Emission Factors'!$U$432:$U$787))</f>
        <v/>
      </c>
      <c r="V78" s="67" t="str">
        <f>IF($J78="","",IF(OR($J78="Litre",$J78="Tonne"),_xlfn.XLOOKUP(G78&amp;U78&amp;T78,Conversions!$E$20:$E$104,Conversions!$F$20:$F$104),INDEX(Conversions!$C$4:$I$10,MATCH('V2 - Purchased Electricity'!$T78,Conversions!$B$4:$B$10,0),MATCH('V2 - Purchased Electricity'!$U78,Conversions!$C$3:$I$3,0))))</f>
        <v/>
      </c>
      <c r="W78" s="67" t="str">
        <f>IF(J78="","",_xlfn.XLOOKUP(H78,'Emission Factors'!$M$432:$M$787,'Emission Factors'!$S$432:$S$787)*V78)</f>
        <v/>
      </c>
      <c r="X78" s="67" t="str">
        <f t="shared" si="28"/>
        <v/>
      </c>
      <c r="Y78" s="67" t="str">
        <f t="shared" si="29"/>
        <v/>
      </c>
      <c r="Z78" s="67" t="str">
        <f>IF(J78="","",_xlfn.XLOOKUP(H78,'Emission Factors'!$M483:$M840,'Emission Factors'!$W483:$W840))</f>
        <v/>
      </c>
      <c r="AA78" s="67"/>
      <c r="AB78" s="67"/>
      <c r="AC78" s="67"/>
      <c r="AD78" s="151"/>
    </row>
    <row r="79" spans="2:30" hidden="1">
      <c r="B79" s="4"/>
      <c r="C79" s="12"/>
      <c r="D79" s="67"/>
      <c r="E79" s="67"/>
      <c r="F79" s="67"/>
      <c r="G79" s="67"/>
      <c r="H79" s="67"/>
      <c r="I79" s="67"/>
      <c r="J79" s="67"/>
      <c r="K79" s="67" t="str">
        <f t="shared" si="30"/>
        <v/>
      </c>
      <c r="L79" s="67"/>
      <c r="M79" s="67"/>
      <c r="N79" s="67"/>
      <c r="O79" s="67"/>
      <c r="P79" s="67" t="str">
        <f t="shared" si="31"/>
        <v/>
      </c>
      <c r="Q79" s="67"/>
      <c r="R79" s="67"/>
      <c r="S79" s="67"/>
      <c r="T79" s="67" t="str">
        <f t="shared" si="27"/>
        <v/>
      </c>
      <c r="U79" s="67" t="str">
        <f>IF(J79="","",_xlfn.XLOOKUP(H79,'Emission Factors'!$M$432:$M$787,'Emission Factors'!$U$432:$U$787))</f>
        <v/>
      </c>
      <c r="V79" s="67" t="str">
        <f>IF($J79="","",IF(OR($J79="Litre",$J79="Tonne"),_xlfn.XLOOKUP(G79&amp;U79&amp;T79,Conversions!$E$20:$E$104,Conversions!$F$20:$F$104),INDEX(Conversions!$C$4:$I$10,MATCH('V2 - Purchased Electricity'!$T79,Conversions!$B$4:$B$10,0),MATCH('V2 - Purchased Electricity'!$U79,Conversions!$C$3:$I$3,0))))</f>
        <v/>
      </c>
      <c r="W79" s="67" t="str">
        <f>IF(J79="","",_xlfn.XLOOKUP(H79,'Emission Factors'!$M$432:$M$787,'Emission Factors'!$S$432:$S$787)*V79)</f>
        <v/>
      </c>
      <c r="X79" s="67" t="str">
        <f t="shared" si="28"/>
        <v/>
      </c>
      <c r="Y79" s="67" t="str">
        <f t="shared" si="29"/>
        <v/>
      </c>
      <c r="Z79" s="67" t="str">
        <f>IF(J79="","",_xlfn.XLOOKUP(H79,'Emission Factors'!$M484:$M841,'Emission Factors'!$W484:$W841))</f>
        <v/>
      </c>
      <c r="AA79" s="67"/>
      <c r="AB79" s="67"/>
      <c r="AC79" s="67"/>
      <c r="AD79" s="151"/>
    </row>
    <row r="80" spans="2:30" hidden="1">
      <c r="B80" s="4"/>
      <c r="C80" s="12"/>
      <c r="D80" s="67"/>
      <c r="E80" s="67"/>
      <c r="F80" s="67"/>
      <c r="G80" s="67"/>
      <c r="H80" s="67"/>
      <c r="I80" s="67"/>
      <c r="J80" s="67"/>
      <c r="K80" s="67" t="str">
        <f t="shared" si="30"/>
        <v/>
      </c>
      <c r="L80" s="67"/>
      <c r="M80" s="67"/>
      <c r="N80" s="67"/>
      <c r="O80" s="67"/>
      <c r="P80" s="67" t="str">
        <f t="shared" si="31"/>
        <v/>
      </c>
      <c r="Q80" s="67"/>
      <c r="R80" s="67"/>
      <c r="S80" s="67"/>
      <c r="T80" s="67" t="str">
        <f t="shared" si="27"/>
        <v/>
      </c>
      <c r="U80" s="67" t="str">
        <f>IF(J80="","",_xlfn.XLOOKUP(H80,'Emission Factors'!$M$432:$M$787,'Emission Factors'!$U$432:$U$787))</f>
        <v/>
      </c>
      <c r="V80" s="67" t="str">
        <f>IF($J80="","",IF(OR($J80="Litre",$J80="Tonne"),_xlfn.XLOOKUP(G80&amp;U80&amp;T80,Conversions!$E$20:$E$104,Conversions!$F$20:$F$104),INDEX(Conversions!$C$4:$I$10,MATCH('V2 - Purchased Electricity'!$T80,Conversions!$B$4:$B$10,0),MATCH('V2 - Purchased Electricity'!$U80,Conversions!$C$3:$I$3,0))))</f>
        <v/>
      </c>
      <c r="W80" s="67" t="str">
        <f>IF(J80="","",_xlfn.XLOOKUP(H80,'Emission Factors'!$M$432:$M$787,'Emission Factors'!$S$432:$S$787)*V80)</f>
        <v/>
      </c>
      <c r="X80" s="67" t="str">
        <f t="shared" si="28"/>
        <v/>
      </c>
      <c r="Y80" s="67" t="str">
        <f t="shared" si="29"/>
        <v/>
      </c>
      <c r="Z80" s="67" t="str">
        <f>IF(J80="","",_xlfn.XLOOKUP(H80,'Emission Factors'!$M485:$M842,'Emission Factors'!$W485:$W842))</f>
        <v/>
      </c>
      <c r="AA80" s="67"/>
      <c r="AB80" s="67"/>
      <c r="AC80" s="67"/>
      <c r="AD80" s="151"/>
    </row>
    <row r="81" spans="2:30" hidden="1">
      <c r="B81" s="4"/>
      <c r="C81" s="12"/>
      <c r="D81" s="67"/>
      <c r="E81" s="67"/>
      <c r="F81" s="67"/>
      <c r="G81" s="67"/>
      <c r="H81" s="67"/>
      <c r="I81" s="67"/>
      <c r="J81" s="67"/>
      <c r="K81" s="67" t="str">
        <f t="shared" si="30"/>
        <v/>
      </c>
      <c r="L81" s="67"/>
      <c r="M81" s="67"/>
      <c r="N81" s="67"/>
      <c r="O81" s="67"/>
      <c r="P81" s="67" t="str">
        <f t="shared" si="31"/>
        <v/>
      </c>
      <c r="Q81" s="67"/>
      <c r="R81" s="67"/>
      <c r="S81" s="67"/>
      <c r="T81" s="67" t="str">
        <f t="shared" si="27"/>
        <v/>
      </c>
      <c r="U81" s="67" t="str">
        <f>IF(J81="","",_xlfn.XLOOKUP(H81,'Emission Factors'!$M$432:$M$787,'Emission Factors'!$U$432:$U$787))</f>
        <v/>
      </c>
      <c r="V81" s="67" t="str">
        <f>IF($J81="","",IF(OR($J81="Litre",$J81="Tonne"),_xlfn.XLOOKUP(G81&amp;U81&amp;T81,Conversions!$E$20:$E$104,Conversions!$F$20:$F$104),INDEX(Conversions!$C$4:$I$10,MATCH('V2 - Purchased Electricity'!$T81,Conversions!$B$4:$B$10,0),MATCH('V2 - Purchased Electricity'!$U81,Conversions!$C$3:$I$3,0))))</f>
        <v/>
      </c>
      <c r="W81" s="67" t="str">
        <f>IF(J81="","",_xlfn.XLOOKUP(H81,'Emission Factors'!$M$432:$M$787,'Emission Factors'!$S$432:$S$787)*V81)</f>
        <v/>
      </c>
      <c r="X81" s="67" t="str">
        <f t="shared" si="28"/>
        <v/>
      </c>
      <c r="Y81" s="67" t="str">
        <f t="shared" si="29"/>
        <v/>
      </c>
      <c r="Z81" s="67" t="str">
        <f>IF(J81="","",_xlfn.XLOOKUP(H81,'Emission Factors'!$M487:$M843,'Emission Factors'!$W487:$W843))</f>
        <v/>
      </c>
      <c r="AA81" s="67"/>
      <c r="AB81" s="67"/>
      <c r="AC81" s="67"/>
      <c r="AD81" s="151"/>
    </row>
    <row r="82" spans="2:30" hidden="1">
      <c r="B82" s="4"/>
      <c r="C82" s="12"/>
      <c r="D82" s="67"/>
      <c r="E82" s="67"/>
      <c r="F82" s="67"/>
      <c r="G82" s="67"/>
      <c r="H82" s="67"/>
      <c r="I82" s="67"/>
      <c r="J82" s="67"/>
      <c r="K82" s="67" t="str">
        <f t="shared" si="30"/>
        <v/>
      </c>
      <c r="L82" s="67"/>
      <c r="M82" s="67"/>
      <c r="N82" s="67"/>
      <c r="O82" s="67"/>
      <c r="P82" s="67" t="str">
        <f t="shared" si="31"/>
        <v/>
      </c>
      <c r="Q82" s="67"/>
      <c r="R82" s="67"/>
      <c r="S82" s="67"/>
      <c r="T82" s="67" t="str">
        <f t="shared" si="27"/>
        <v/>
      </c>
      <c r="U82" s="67" t="str">
        <f>IF(J82="","",_xlfn.XLOOKUP(H82,'Emission Factors'!$M$432:$M$787,'Emission Factors'!$U$432:$U$787))</f>
        <v/>
      </c>
      <c r="V82" s="67" t="str">
        <f>IF($J82="","",IF(OR($J82="Litre",$J82="Tonne"),_xlfn.XLOOKUP(G82&amp;U82&amp;T82,Conversions!$E$20:$E$104,Conversions!$F$20:$F$104),INDEX(Conversions!$C$4:$I$10,MATCH('V2 - Purchased Electricity'!$T82,Conversions!$B$4:$B$10,0),MATCH('V2 - Purchased Electricity'!$U82,Conversions!$C$3:$I$3,0))))</f>
        <v/>
      </c>
      <c r="W82" s="67" t="str">
        <f>IF(J82="","",_xlfn.XLOOKUP(H82,'Emission Factors'!$M$432:$M$787,'Emission Factors'!$S$432:$S$787)*V82)</f>
        <v/>
      </c>
      <c r="X82" s="67" t="str">
        <f t="shared" si="28"/>
        <v/>
      </c>
      <c r="Y82" s="67" t="str">
        <f t="shared" si="29"/>
        <v/>
      </c>
      <c r="Z82" s="67" t="str">
        <f>IF(J82="","",_xlfn.XLOOKUP(H82,'Emission Factors'!$M488:$M844,'Emission Factors'!$W488:$W844))</f>
        <v/>
      </c>
      <c r="AA82" s="67"/>
      <c r="AB82" s="67"/>
      <c r="AC82" s="67"/>
      <c r="AD82" s="151"/>
    </row>
    <row r="83" spans="2:30" hidden="1">
      <c r="B83" s="4"/>
      <c r="C83" s="12"/>
      <c r="D83" s="67"/>
      <c r="E83" s="67"/>
      <c r="F83" s="67"/>
      <c r="G83" s="67"/>
      <c r="H83" s="67"/>
      <c r="I83" s="67"/>
      <c r="J83" s="67"/>
      <c r="K83" s="67" t="str">
        <f t="shared" si="30"/>
        <v/>
      </c>
      <c r="L83" s="67"/>
      <c r="M83" s="67"/>
      <c r="N83" s="67"/>
      <c r="O83" s="67"/>
      <c r="P83" s="67" t="str">
        <f t="shared" si="31"/>
        <v/>
      </c>
      <c r="Q83" s="67"/>
      <c r="R83" s="67"/>
      <c r="S83" s="67"/>
      <c r="T83" s="67" t="str">
        <f t="shared" si="27"/>
        <v/>
      </c>
      <c r="U83" s="67" t="str">
        <f>IF(J83="","",_xlfn.XLOOKUP(H83,'Emission Factors'!$M$432:$M$787,'Emission Factors'!$U$432:$U$787))</f>
        <v/>
      </c>
      <c r="V83" s="67" t="str">
        <f>IF($J83="","",IF(OR($J83="Litre",$J83="Tonne"),_xlfn.XLOOKUP(G83&amp;U83&amp;T83,Conversions!$E$20:$E$104,Conversions!$F$20:$F$104),INDEX(Conversions!$C$4:$I$10,MATCH('V2 - Purchased Electricity'!$T83,Conversions!$B$4:$B$10,0),MATCH('V2 - Purchased Electricity'!$U83,Conversions!$C$3:$I$3,0))))</f>
        <v/>
      </c>
      <c r="W83" s="67" t="str">
        <f>IF(J83="","",_xlfn.XLOOKUP(H83,'Emission Factors'!$M$432:$M$787,'Emission Factors'!$S$432:$S$787)*V83)</f>
        <v/>
      </c>
      <c r="X83" s="67" t="str">
        <f t="shared" si="28"/>
        <v/>
      </c>
      <c r="Y83" s="67" t="str">
        <f t="shared" si="29"/>
        <v/>
      </c>
      <c r="Z83" s="67" t="str">
        <f>IF(J83="","",_xlfn.XLOOKUP(H83,'Emission Factors'!$M489:$M845,'Emission Factors'!$W489:$W845))</f>
        <v/>
      </c>
      <c r="AA83" s="67"/>
      <c r="AB83" s="67"/>
      <c r="AC83" s="67"/>
      <c r="AD83" s="151"/>
    </row>
    <row r="84" spans="2:30" hidden="1">
      <c r="B84" s="4"/>
      <c r="C84" s="12"/>
      <c r="D84" s="67"/>
      <c r="E84" s="67"/>
      <c r="F84" s="67"/>
      <c r="G84" s="67"/>
      <c r="H84" s="67"/>
      <c r="I84" s="67"/>
      <c r="J84" s="67"/>
      <c r="K84" s="67" t="str">
        <f t="shared" si="30"/>
        <v/>
      </c>
      <c r="L84" s="67"/>
      <c r="M84" s="67"/>
      <c r="N84" s="67"/>
      <c r="O84" s="67"/>
      <c r="P84" s="67" t="str">
        <f t="shared" si="31"/>
        <v/>
      </c>
      <c r="Q84" s="67"/>
      <c r="R84" s="67"/>
      <c r="S84" s="67"/>
      <c r="T84" s="67" t="str">
        <f t="shared" si="27"/>
        <v/>
      </c>
      <c r="U84" s="67" t="str">
        <f>IF(J84="","",_xlfn.XLOOKUP(H84,'Emission Factors'!$M$432:$M$787,'Emission Factors'!$U$432:$U$787))</f>
        <v/>
      </c>
      <c r="V84" s="67" t="str">
        <f>IF($J84="","",IF(OR($J84="Litre",$J84="Tonne"),_xlfn.XLOOKUP(G84&amp;U84&amp;T84,Conversions!$E$20:$E$104,Conversions!$F$20:$F$104),INDEX(Conversions!$C$4:$I$10,MATCH('V2 - Purchased Electricity'!$T84,Conversions!$B$4:$B$10,0),MATCH('V2 - Purchased Electricity'!$U84,Conversions!$C$3:$I$3,0))))</f>
        <v/>
      </c>
      <c r="W84" s="67" t="str">
        <f>IF(J84="","",_xlfn.XLOOKUP(H84,'Emission Factors'!$M$432:$M$787,'Emission Factors'!$S$432:$S$787)*V84)</f>
        <v/>
      </c>
      <c r="X84" s="67" t="str">
        <f t="shared" si="28"/>
        <v/>
      </c>
      <c r="Y84" s="67" t="str">
        <f t="shared" si="29"/>
        <v/>
      </c>
      <c r="Z84" s="67" t="str">
        <f>IF(J84="","",_xlfn.XLOOKUP(H84,'Emission Factors'!$M490:$M846,'Emission Factors'!$W490:$W846))</f>
        <v/>
      </c>
      <c r="AA84" s="67"/>
      <c r="AB84" s="67"/>
      <c r="AC84" s="67"/>
      <c r="AD84" s="151"/>
    </row>
    <row r="85" spans="2:30" hidden="1">
      <c r="B85" s="4"/>
      <c r="C85" s="12"/>
      <c r="D85" s="67"/>
      <c r="E85" s="67"/>
      <c r="F85" s="67"/>
      <c r="G85" s="67"/>
      <c r="H85" s="67"/>
      <c r="I85" s="67"/>
      <c r="J85" s="67"/>
      <c r="K85" s="67" t="str">
        <f t="shared" si="30"/>
        <v/>
      </c>
      <c r="L85" s="67"/>
      <c r="M85" s="67"/>
      <c r="N85" s="67"/>
      <c r="O85" s="67"/>
      <c r="P85" s="67" t="str">
        <f t="shared" si="31"/>
        <v/>
      </c>
      <c r="Q85" s="67"/>
      <c r="R85" s="67"/>
      <c r="S85" s="67"/>
      <c r="T85" s="67" t="str">
        <f t="shared" si="27"/>
        <v/>
      </c>
      <c r="U85" s="67" t="str">
        <f>IF(J85="","",_xlfn.XLOOKUP(H85,'Emission Factors'!$M$432:$M$787,'Emission Factors'!$U$432:$U$787))</f>
        <v/>
      </c>
      <c r="V85" s="67" t="str">
        <f>IF($J85="","",IF(OR($J85="Litre",$J85="Tonne"),_xlfn.XLOOKUP(G85&amp;U85&amp;T85,Conversions!$E$20:$E$104,Conversions!$F$20:$F$104),INDEX(Conversions!$C$4:$I$10,MATCH('V2 - Purchased Electricity'!$T85,Conversions!$B$4:$B$10,0),MATCH('V2 - Purchased Electricity'!$U85,Conversions!$C$3:$I$3,0))))</f>
        <v/>
      </c>
      <c r="W85" s="67" t="str">
        <f>IF(J85="","",_xlfn.XLOOKUP(H85,'Emission Factors'!$M$432:$M$787,'Emission Factors'!$S$432:$S$787)*V85)</f>
        <v/>
      </c>
      <c r="X85" s="67" t="str">
        <f t="shared" si="28"/>
        <v/>
      </c>
      <c r="Y85" s="67" t="str">
        <f t="shared" si="29"/>
        <v/>
      </c>
      <c r="Z85" s="67" t="str">
        <f>IF(J85="","",_xlfn.XLOOKUP(H85,'Emission Factors'!$M491:$M847,'Emission Factors'!$W491:$W847))</f>
        <v/>
      </c>
      <c r="AA85" s="67"/>
      <c r="AB85" s="67"/>
      <c r="AC85" s="67"/>
      <c r="AD85" s="151"/>
    </row>
    <row r="86" spans="2:30" hidden="1">
      <c r="B86" s="4"/>
      <c r="C86" s="12"/>
      <c r="D86" s="67"/>
      <c r="E86" s="67"/>
      <c r="F86" s="67"/>
      <c r="G86" s="67"/>
      <c r="H86" s="67"/>
      <c r="I86" s="67"/>
      <c r="J86" s="67"/>
      <c r="K86" s="67" t="str">
        <f t="shared" si="30"/>
        <v/>
      </c>
      <c r="L86" s="67"/>
      <c r="M86" s="67"/>
      <c r="N86" s="67"/>
      <c r="O86" s="67"/>
      <c r="P86" s="67" t="str">
        <f t="shared" si="31"/>
        <v/>
      </c>
      <c r="Q86" s="67"/>
      <c r="R86" s="67"/>
      <c r="S86" s="67"/>
      <c r="T86" s="67" t="str">
        <f t="shared" si="27"/>
        <v/>
      </c>
      <c r="U86" s="67" t="str">
        <f>IF(J86="","",_xlfn.XLOOKUP(H86,'Emission Factors'!$M$432:$M$787,'Emission Factors'!$U$432:$U$787))</f>
        <v/>
      </c>
      <c r="V86" s="67" t="str">
        <f>IF($J86="","",IF(OR($J86="Litre",$J86="Tonne"),_xlfn.XLOOKUP(G86&amp;U86&amp;T86,Conversions!$E$20:$E$104,Conversions!$F$20:$F$104),INDEX(Conversions!$C$4:$I$10,MATCH('V2 - Purchased Electricity'!$T86,Conversions!$B$4:$B$10,0),MATCH('V2 - Purchased Electricity'!$U86,Conversions!$C$3:$I$3,0))))</f>
        <v/>
      </c>
      <c r="W86" s="67" t="str">
        <f>IF(J86="","",_xlfn.XLOOKUP(H86,'Emission Factors'!$M$432:$M$787,'Emission Factors'!$S$432:$S$787)*V86)</f>
        <v/>
      </c>
      <c r="X86" s="67" t="str">
        <f t="shared" si="28"/>
        <v/>
      </c>
      <c r="Y86" s="67" t="str">
        <f t="shared" si="29"/>
        <v/>
      </c>
      <c r="Z86" s="67" t="str">
        <f>IF(J86="","",_xlfn.XLOOKUP(H86,'Emission Factors'!$M492:$M848,'Emission Factors'!$W492:$W848))</f>
        <v/>
      </c>
      <c r="AA86" s="67"/>
      <c r="AB86" s="67"/>
      <c r="AC86" s="67"/>
      <c r="AD86" s="151"/>
    </row>
    <row r="87" spans="2:30" hidden="1">
      <c r="B87" s="4"/>
      <c r="C87" s="12"/>
      <c r="D87" s="67"/>
      <c r="E87" s="67"/>
      <c r="F87" s="67"/>
      <c r="G87" s="67"/>
      <c r="H87" s="67"/>
      <c r="I87" s="67"/>
      <c r="J87" s="67"/>
      <c r="K87" s="67" t="str">
        <f t="shared" si="30"/>
        <v/>
      </c>
      <c r="L87" s="67"/>
      <c r="M87" s="67"/>
      <c r="N87" s="67"/>
      <c r="O87" s="67"/>
      <c r="P87" s="67" t="str">
        <f t="shared" si="31"/>
        <v/>
      </c>
      <c r="Q87" s="67"/>
      <c r="R87" s="67"/>
      <c r="S87" s="67"/>
      <c r="T87" s="67" t="str">
        <f t="shared" si="27"/>
        <v/>
      </c>
      <c r="U87" s="67" t="str">
        <f>IF(J87="","",_xlfn.XLOOKUP(H87,'Emission Factors'!$M$432:$M$787,'Emission Factors'!$U$432:$U$787))</f>
        <v/>
      </c>
      <c r="V87" s="67" t="str">
        <f>IF($J87="","",IF(OR($J87="Litre",$J87="Tonne"),_xlfn.XLOOKUP(G87&amp;U87&amp;T87,Conversions!$E$20:$E$104,Conversions!$F$20:$F$104),INDEX(Conversions!$C$4:$I$10,MATCH('V2 - Purchased Electricity'!$T87,Conversions!$B$4:$B$10,0),MATCH('V2 - Purchased Electricity'!$U87,Conversions!$C$3:$I$3,0))))</f>
        <v/>
      </c>
      <c r="W87" s="67" t="str">
        <f>IF(J87="","",_xlfn.XLOOKUP(H87,'Emission Factors'!$M$432:$M$787,'Emission Factors'!$S$432:$S$787)*V87)</f>
        <v/>
      </c>
      <c r="X87" s="67" t="str">
        <f t="shared" si="28"/>
        <v/>
      </c>
      <c r="Y87" s="67" t="str">
        <f t="shared" si="29"/>
        <v/>
      </c>
      <c r="Z87" s="67" t="str">
        <f>IF(J87="","",_xlfn.XLOOKUP(H87,'Emission Factors'!$M493:$M849,'Emission Factors'!$W493:$W849))</f>
        <v/>
      </c>
      <c r="AA87" s="67"/>
      <c r="AB87" s="67"/>
      <c r="AC87" s="67"/>
      <c r="AD87" s="151"/>
    </row>
    <row r="88" spans="2:30" hidden="1">
      <c r="B88" s="4"/>
      <c r="C88" s="12"/>
      <c r="D88" s="67"/>
      <c r="E88" s="67"/>
      <c r="F88" s="67"/>
      <c r="G88" s="67"/>
      <c r="H88" s="67"/>
      <c r="I88" s="67"/>
      <c r="J88" s="67"/>
      <c r="K88" s="67" t="str">
        <f t="shared" si="30"/>
        <v/>
      </c>
      <c r="L88" s="67"/>
      <c r="M88" s="67"/>
      <c r="N88" s="67"/>
      <c r="O88" s="67"/>
      <c r="P88" s="67" t="str">
        <f t="shared" si="31"/>
        <v/>
      </c>
      <c r="Q88" s="67"/>
      <c r="R88" s="67"/>
      <c r="S88" s="67"/>
      <c r="T88" s="67" t="str">
        <f t="shared" si="27"/>
        <v/>
      </c>
      <c r="U88" s="67" t="str">
        <f>IF(J88="","",_xlfn.XLOOKUP(H88,'Emission Factors'!$M$432:$M$787,'Emission Factors'!$U$432:$U$787))</f>
        <v/>
      </c>
      <c r="V88" s="67" t="str">
        <f>IF($J88="","",IF(OR($J88="Litre",$J88="Tonne"),_xlfn.XLOOKUP(G88&amp;U88&amp;T88,Conversions!$E$20:$E$104,Conversions!$F$20:$F$104),INDEX(Conversions!$C$4:$I$10,MATCH('V2 - Purchased Electricity'!$T88,Conversions!$B$4:$B$10,0),MATCH('V2 - Purchased Electricity'!$U88,Conversions!$C$3:$I$3,0))))</f>
        <v/>
      </c>
      <c r="W88" s="67" t="str">
        <f>IF(J88="","",_xlfn.XLOOKUP(H88,'Emission Factors'!$M$432:$M$787,'Emission Factors'!$S$432:$S$787)*V88)</f>
        <v/>
      </c>
      <c r="X88" s="67" t="str">
        <f t="shared" si="28"/>
        <v/>
      </c>
      <c r="Y88" s="67" t="str">
        <f t="shared" si="29"/>
        <v/>
      </c>
      <c r="Z88" s="67" t="str">
        <f>IF(J88="","",_xlfn.XLOOKUP(H88,'Emission Factors'!$M494:$M850,'Emission Factors'!$W494:$W850))</f>
        <v/>
      </c>
      <c r="AA88" s="67"/>
      <c r="AB88" s="67"/>
      <c r="AC88" s="67"/>
      <c r="AD88" s="151"/>
    </row>
    <row r="89" spans="2:30" hidden="1">
      <c r="B89" s="4"/>
      <c r="C89" s="12"/>
      <c r="D89" s="67"/>
      <c r="E89" s="67"/>
      <c r="F89" s="67"/>
      <c r="G89" s="67"/>
      <c r="H89" s="67"/>
      <c r="I89" s="67"/>
      <c r="J89" s="67"/>
      <c r="K89" s="67" t="str">
        <f t="shared" si="30"/>
        <v/>
      </c>
      <c r="L89" s="67"/>
      <c r="M89" s="67"/>
      <c r="N89" s="67"/>
      <c r="O89" s="67"/>
      <c r="P89" s="67" t="str">
        <f t="shared" si="31"/>
        <v/>
      </c>
      <c r="Q89" s="67"/>
      <c r="R89" s="67"/>
      <c r="S89" s="67"/>
      <c r="T89" s="67" t="str">
        <f t="shared" si="27"/>
        <v/>
      </c>
      <c r="U89" s="67" t="str">
        <f>IF(J89="","",_xlfn.XLOOKUP(H89,'Emission Factors'!$M$432:$M$787,'Emission Factors'!$U$432:$U$787))</f>
        <v/>
      </c>
      <c r="V89" s="67" t="str">
        <f>IF($J89="","",IF(OR($J89="Litre",$J89="Tonne"),_xlfn.XLOOKUP(G89&amp;U89&amp;T89,Conversions!$E$20:$E$104,Conversions!$F$20:$F$104),INDEX(Conversions!$C$4:$I$10,MATCH('V2 - Purchased Electricity'!$T89,Conversions!$B$4:$B$10,0),MATCH('V2 - Purchased Electricity'!$U89,Conversions!$C$3:$I$3,0))))</f>
        <v/>
      </c>
      <c r="W89" s="67" t="str">
        <f>IF(J89="","",_xlfn.XLOOKUP(H89,'Emission Factors'!$M$432:$M$787,'Emission Factors'!$S$432:$S$787)*V89)</f>
        <v/>
      </c>
      <c r="X89" s="67" t="str">
        <f t="shared" si="28"/>
        <v/>
      </c>
      <c r="Y89" s="67" t="str">
        <f t="shared" si="29"/>
        <v/>
      </c>
      <c r="Z89" s="67" t="str">
        <f>IF(J89="","",_xlfn.XLOOKUP(H89,'Emission Factors'!$M495:$M851,'Emission Factors'!$W495:$W851))</f>
        <v/>
      </c>
      <c r="AA89" s="67"/>
      <c r="AB89" s="67"/>
      <c r="AC89" s="67"/>
      <c r="AD89" s="151"/>
    </row>
    <row r="90" spans="2:30" hidden="1">
      <c r="B90" s="4"/>
      <c r="C90" s="12"/>
      <c r="D90" s="67"/>
      <c r="E90" s="67"/>
      <c r="F90" s="67"/>
      <c r="G90" s="67"/>
      <c r="H90" s="67"/>
      <c r="I90" s="67"/>
      <c r="J90" s="67"/>
      <c r="K90" s="67" t="str">
        <f t="shared" si="30"/>
        <v/>
      </c>
      <c r="L90" s="67"/>
      <c r="M90" s="67"/>
      <c r="N90" s="67"/>
      <c r="O90" s="67"/>
      <c r="P90" s="67" t="str">
        <f t="shared" si="31"/>
        <v/>
      </c>
      <c r="Q90" s="67"/>
      <c r="R90" s="67"/>
      <c r="S90" s="67"/>
      <c r="T90" s="67" t="str">
        <f t="shared" si="27"/>
        <v/>
      </c>
      <c r="U90" s="67" t="str">
        <f>IF(J90="","",_xlfn.XLOOKUP(H90,'Emission Factors'!$M$432:$M$787,'Emission Factors'!$U$432:$U$787))</f>
        <v/>
      </c>
      <c r="V90" s="67" t="str">
        <f>IF($J90="","",IF(OR($J90="Litre",$J90="Tonne"),_xlfn.XLOOKUP(G90&amp;U90&amp;T90,Conversions!$E$20:$E$104,Conversions!$F$20:$F$104),INDEX(Conversions!$C$4:$I$10,MATCH('V2 - Purchased Electricity'!$T90,Conversions!$B$4:$B$10,0),MATCH('V2 - Purchased Electricity'!$U90,Conversions!$C$3:$I$3,0))))</f>
        <v/>
      </c>
      <c r="W90" s="67" t="str">
        <f>IF(J90="","",_xlfn.XLOOKUP(H90,'Emission Factors'!$M$432:$M$787,'Emission Factors'!$S$432:$S$787)*V90)</f>
        <v/>
      </c>
      <c r="X90" s="67" t="str">
        <f t="shared" si="28"/>
        <v/>
      </c>
      <c r="Y90" s="67" t="str">
        <f t="shared" si="29"/>
        <v/>
      </c>
      <c r="Z90" s="67" t="str">
        <f>IF(J90="","",_xlfn.XLOOKUP(H90,'Emission Factors'!$M496:$M852,'Emission Factors'!$W496:$W852))</f>
        <v/>
      </c>
      <c r="AA90" s="67"/>
      <c r="AB90" s="67"/>
      <c r="AC90" s="67"/>
      <c r="AD90" s="151"/>
    </row>
    <row r="91" spans="2:30" hidden="1">
      <c r="B91" s="4"/>
      <c r="C91" s="12"/>
      <c r="D91" s="67"/>
      <c r="E91" s="67"/>
      <c r="F91" s="67"/>
      <c r="G91" s="67"/>
      <c r="H91" s="67"/>
      <c r="I91" s="67"/>
      <c r="J91" s="67"/>
      <c r="K91" s="67" t="str">
        <f t="shared" si="30"/>
        <v/>
      </c>
      <c r="L91" s="67"/>
      <c r="M91" s="67"/>
      <c r="N91" s="67"/>
      <c r="O91" s="67"/>
      <c r="P91" s="67" t="str">
        <f t="shared" si="31"/>
        <v/>
      </c>
      <c r="Q91" s="67"/>
      <c r="R91" s="67"/>
      <c r="S91" s="67"/>
      <c r="T91" s="67" t="str">
        <f t="shared" si="27"/>
        <v/>
      </c>
      <c r="U91" s="67" t="str">
        <f>IF(J91="","",_xlfn.XLOOKUP(H91,'Emission Factors'!$M$432:$M$787,'Emission Factors'!$U$432:$U$787))</f>
        <v/>
      </c>
      <c r="V91" s="67" t="str">
        <f>IF($J91="","",IF(OR($J91="Litre",$J91="Tonne"),_xlfn.XLOOKUP(G91&amp;U91&amp;T91,Conversions!$E$20:$E$104,Conversions!$F$20:$F$104),INDEX(Conversions!$C$4:$I$10,MATCH('V2 - Purchased Electricity'!$T91,Conversions!$B$4:$B$10,0),MATCH('V2 - Purchased Electricity'!$U91,Conversions!$C$3:$I$3,0))))</f>
        <v/>
      </c>
      <c r="W91" s="67" t="str">
        <f>IF(J91="","",_xlfn.XLOOKUP(H91,'Emission Factors'!$M$432:$M$787,'Emission Factors'!$S$432:$S$787)*V91)</f>
        <v/>
      </c>
      <c r="X91" s="67" t="str">
        <f t="shared" si="28"/>
        <v/>
      </c>
      <c r="Y91" s="67" t="str">
        <f t="shared" si="29"/>
        <v/>
      </c>
      <c r="Z91" s="67" t="str">
        <f>IF(J91="","",_xlfn.XLOOKUP(H91,'Emission Factors'!$M497:$M853,'Emission Factors'!$W497:$W853))</f>
        <v/>
      </c>
      <c r="AA91" s="67"/>
      <c r="AB91" s="67"/>
      <c r="AC91" s="67"/>
      <c r="AD91" s="151"/>
    </row>
    <row r="92" spans="2:30" hidden="1">
      <c r="B92" s="4"/>
      <c r="C92" s="12"/>
      <c r="D92" s="67"/>
      <c r="E92" s="67"/>
      <c r="F92" s="67"/>
      <c r="G92" s="67"/>
      <c r="H92" s="67"/>
      <c r="I92" s="67"/>
      <c r="J92" s="67"/>
      <c r="K92" s="67" t="str">
        <f t="shared" si="30"/>
        <v/>
      </c>
      <c r="L92" s="67"/>
      <c r="M92" s="67"/>
      <c r="N92" s="67"/>
      <c r="O92" s="67"/>
      <c r="P92" s="67" t="str">
        <f t="shared" si="31"/>
        <v/>
      </c>
      <c r="Q92" s="67"/>
      <c r="R92" s="67"/>
      <c r="S92" s="67"/>
      <c r="T92" s="67" t="str">
        <f t="shared" si="27"/>
        <v/>
      </c>
      <c r="U92" s="67" t="str">
        <f>IF(J92="","",_xlfn.XLOOKUP(H92,'Emission Factors'!$M$432:$M$787,'Emission Factors'!$U$432:$U$787))</f>
        <v/>
      </c>
      <c r="V92" s="67" t="str">
        <f>IF($J92="","",IF(OR($J92="Litre",$J92="Tonne"),_xlfn.XLOOKUP(G92&amp;U92&amp;T92,Conversions!$E$20:$E$104,Conversions!$F$20:$F$104),INDEX(Conversions!$C$4:$I$10,MATCH('V2 - Purchased Electricity'!$T92,Conversions!$B$4:$B$10,0),MATCH('V2 - Purchased Electricity'!$U92,Conversions!$C$3:$I$3,0))))</f>
        <v/>
      </c>
      <c r="W92" s="67" t="str">
        <f>IF(J92="","",_xlfn.XLOOKUP(H92,'Emission Factors'!$M$432:$M$787,'Emission Factors'!$S$432:$S$787)*V92)</f>
        <v/>
      </c>
      <c r="X92" s="67" t="str">
        <f t="shared" si="28"/>
        <v/>
      </c>
      <c r="Y92" s="67" t="str">
        <f t="shared" si="29"/>
        <v/>
      </c>
      <c r="Z92" s="67" t="str">
        <f>IF(J92="","",_xlfn.XLOOKUP(H92,'Emission Factors'!$M498:$M854,'Emission Factors'!$W498:$W854))</f>
        <v/>
      </c>
      <c r="AA92" s="67"/>
      <c r="AB92" s="67"/>
      <c r="AC92" s="67"/>
      <c r="AD92" s="151"/>
    </row>
    <row r="93" spans="2:30" hidden="1">
      <c r="B93" s="4"/>
      <c r="C93" s="12"/>
      <c r="D93" s="67"/>
      <c r="E93" s="67"/>
      <c r="F93" s="67"/>
      <c r="G93" s="67"/>
      <c r="H93" s="67"/>
      <c r="I93" s="67"/>
      <c r="J93" s="67"/>
      <c r="K93" s="67" t="str">
        <f t="shared" si="30"/>
        <v/>
      </c>
      <c r="L93" s="67"/>
      <c r="M93" s="67"/>
      <c r="N93" s="67"/>
      <c r="O93" s="67"/>
      <c r="P93" s="67" t="str">
        <f t="shared" si="31"/>
        <v/>
      </c>
      <c r="Q93" s="67"/>
      <c r="R93" s="67"/>
      <c r="S93" s="67"/>
      <c r="T93" s="67" t="str">
        <f t="shared" si="27"/>
        <v/>
      </c>
      <c r="U93" s="67" t="str">
        <f>IF(J93="","",_xlfn.XLOOKUP(H93,'Emission Factors'!$M$432:$M$787,'Emission Factors'!$U$432:$U$787))</f>
        <v/>
      </c>
      <c r="V93" s="67" t="str">
        <f>IF($J93="","",IF(OR($J93="Litre",$J93="Tonne"),_xlfn.XLOOKUP(G93&amp;U93&amp;T93,Conversions!$E$20:$E$104,Conversions!$F$20:$F$104),INDEX(Conversions!$C$4:$I$10,MATCH('V2 - Purchased Electricity'!$T93,Conversions!$B$4:$B$10,0),MATCH('V2 - Purchased Electricity'!$U93,Conversions!$C$3:$I$3,0))))</f>
        <v/>
      </c>
      <c r="W93" s="67" t="str">
        <f>IF(J93="","",_xlfn.XLOOKUP(H93,'Emission Factors'!$M$432:$M$787,'Emission Factors'!$S$432:$S$787)*V93)</f>
        <v/>
      </c>
      <c r="X93" s="67" t="str">
        <f t="shared" si="28"/>
        <v/>
      </c>
      <c r="Y93" s="67" t="str">
        <f t="shared" si="29"/>
        <v/>
      </c>
      <c r="Z93" s="67" t="str">
        <f>IF(J93="","",_xlfn.XLOOKUP(H93,'Emission Factors'!$M499:$M855,'Emission Factors'!$W499:$W855))</f>
        <v/>
      </c>
      <c r="AA93" s="67"/>
      <c r="AB93" s="67"/>
      <c r="AC93" s="67"/>
      <c r="AD93" s="151"/>
    </row>
    <row r="94" spans="2:30" hidden="1">
      <c r="B94" s="4"/>
      <c r="C94" s="12"/>
      <c r="D94" s="67"/>
      <c r="E94" s="67"/>
      <c r="F94" s="67"/>
      <c r="G94" s="67"/>
      <c r="H94" s="67"/>
      <c r="I94" s="67"/>
      <c r="J94" s="67"/>
      <c r="K94" s="67" t="str">
        <f t="shared" si="30"/>
        <v/>
      </c>
      <c r="L94" s="67"/>
      <c r="M94" s="67"/>
      <c r="N94" s="67"/>
      <c r="O94" s="67"/>
      <c r="P94" s="67" t="str">
        <f t="shared" si="31"/>
        <v/>
      </c>
      <c r="Q94" s="67"/>
      <c r="R94" s="67"/>
      <c r="S94" s="67"/>
      <c r="T94" s="67" t="str">
        <f t="shared" si="27"/>
        <v/>
      </c>
      <c r="U94" s="67" t="str">
        <f>IF(J94="","",_xlfn.XLOOKUP(H94,'Emission Factors'!$M$432:$M$787,'Emission Factors'!$U$432:$U$787))</f>
        <v/>
      </c>
      <c r="V94" s="67" t="str">
        <f>IF($J94="","",IF(OR($J94="Litre",$J94="Tonne"),_xlfn.XLOOKUP(G94&amp;U94&amp;T94,Conversions!$E$20:$E$104,Conversions!$F$20:$F$104),INDEX(Conversions!$C$4:$I$10,MATCH('V2 - Purchased Electricity'!$T94,Conversions!$B$4:$B$10,0),MATCH('V2 - Purchased Electricity'!$U94,Conversions!$C$3:$I$3,0))))</f>
        <v/>
      </c>
      <c r="W94" s="67" t="str">
        <f>IF(J94="","",_xlfn.XLOOKUP(H94,'Emission Factors'!$M$432:$M$787,'Emission Factors'!$S$432:$S$787)*V94)</f>
        <v/>
      </c>
      <c r="X94" s="67" t="str">
        <f t="shared" si="28"/>
        <v/>
      </c>
      <c r="Y94" s="67" t="str">
        <f t="shared" si="29"/>
        <v/>
      </c>
      <c r="Z94" s="67" t="str">
        <f>IF(J94="","",_xlfn.XLOOKUP(H94,'Emission Factors'!$M500:$M856,'Emission Factors'!$W500:$W856))</f>
        <v/>
      </c>
      <c r="AA94" s="67"/>
      <c r="AB94" s="67"/>
      <c r="AC94" s="67"/>
      <c r="AD94" s="151"/>
    </row>
    <row r="95" spans="2:30" hidden="1">
      <c r="B95" s="4"/>
      <c r="C95" s="12"/>
      <c r="D95" s="67"/>
      <c r="E95" s="67"/>
      <c r="F95" s="67"/>
      <c r="G95" s="67"/>
      <c r="H95" s="67"/>
      <c r="I95" s="67"/>
      <c r="J95" s="67"/>
      <c r="K95" s="67" t="str">
        <f t="shared" si="30"/>
        <v/>
      </c>
      <c r="L95" s="67"/>
      <c r="M95" s="67"/>
      <c r="N95" s="67"/>
      <c r="O95" s="67"/>
      <c r="P95" s="67" t="str">
        <f t="shared" si="31"/>
        <v/>
      </c>
      <c r="Q95" s="67"/>
      <c r="R95" s="67"/>
      <c r="S95" s="67"/>
      <c r="T95" s="67" t="str">
        <f t="shared" si="27"/>
        <v/>
      </c>
      <c r="U95" s="67" t="str">
        <f>IF(J95="","",_xlfn.XLOOKUP(H95,'Emission Factors'!$M$432:$M$787,'Emission Factors'!$U$432:$U$787))</f>
        <v/>
      </c>
      <c r="V95" s="67" t="str">
        <f>IF($J95="","",IF(OR($J95="Litre",$J95="Tonne"),_xlfn.XLOOKUP(G95&amp;U95&amp;T95,Conversions!$E$20:$E$104,Conversions!$F$20:$F$104),INDEX(Conversions!$C$4:$I$10,MATCH('V2 - Purchased Electricity'!$T95,Conversions!$B$4:$B$10,0),MATCH('V2 - Purchased Electricity'!$U95,Conversions!$C$3:$I$3,0))))</f>
        <v/>
      </c>
      <c r="W95" s="67" t="str">
        <f>IF(J95="","",_xlfn.XLOOKUP(H95,'Emission Factors'!$M$432:$M$787,'Emission Factors'!$S$432:$S$787)*V95)</f>
        <v/>
      </c>
      <c r="X95" s="67" t="str">
        <f t="shared" si="28"/>
        <v/>
      </c>
      <c r="Y95" s="67" t="str">
        <f t="shared" si="29"/>
        <v/>
      </c>
      <c r="Z95" s="67" t="str">
        <f>IF(J95="","",_xlfn.XLOOKUP(H95,'Emission Factors'!$M500:$M856,'Emission Factors'!$W500:$W856))</f>
        <v/>
      </c>
      <c r="AA95" s="67"/>
      <c r="AB95" s="67"/>
      <c r="AC95" s="67"/>
      <c r="AD95" s="151"/>
    </row>
    <row r="96" spans="2:30" hidden="1">
      <c r="B96" s="4"/>
      <c r="C96" s="12"/>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1"/>
    </row>
    <row r="97" spans="2:30" hidden="1">
      <c r="B97" s="4"/>
      <c r="C97" s="12"/>
      <c r="D97" s="67" t="s">
        <v>220</v>
      </c>
      <c r="E97" s="67"/>
      <c r="F97" s="67"/>
      <c r="G97" s="67"/>
      <c r="H97" s="67"/>
      <c r="I97" s="67"/>
      <c r="J97" s="67"/>
      <c r="K97" s="67"/>
      <c r="L97" s="67"/>
      <c r="M97" s="67"/>
      <c r="N97" s="67"/>
      <c r="O97" s="67"/>
      <c r="P97" s="67">
        <f>SUM($P$66:$P$95)</f>
        <v>0</v>
      </c>
      <c r="Q97" s="67"/>
      <c r="R97" s="67"/>
      <c r="S97" s="67"/>
      <c r="T97" s="67"/>
      <c r="U97" s="67"/>
      <c r="V97" s="67"/>
      <c r="W97" s="67"/>
      <c r="X97" s="67"/>
      <c r="Y97" s="67">
        <f>SUM($Y$66:$Y$95)</f>
        <v>0</v>
      </c>
      <c r="Z97" s="67"/>
      <c r="AA97" s="67"/>
      <c r="AB97" s="67"/>
      <c r="AC97" s="67"/>
      <c r="AD97" s="151"/>
    </row>
    <row r="98" spans="2:30" hidden="1">
      <c r="B98" s="4"/>
      <c r="C98" s="12"/>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1"/>
    </row>
    <row r="99" spans="2:30" hidden="1">
      <c r="B99" s="4"/>
      <c r="C99" s="12"/>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51"/>
    </row>
    <row r="100" spans="2:30">
      <c r="B100" s="4"/>
      <c r="C100" s="12"/>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1"/>
    </row>
    <row r="101" spans="2:30">
      <c r="B101" s="4"/>
      <c r="C101" s="12"/>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1"/>
    </row>
    <row r="102" spans="2:30">
      <c r="B102" s="4"/>
      <c r="C102" s="12"/>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1"/>
    </row>
    <row r="103" spans="2:30">
      <c r="B103" s="4"/>
      <c r="C103" s="12"/>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1"/>
    </row>
    <row r="104" spans="2:30">
      <c r="B104" s="4"/>
      <c r="C104" s="12"/>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1"/>
    </row>
  </sheetData>
  <sheetProtection algorithmName="SHA-512" hashValue="RM6YGAgDX4ztqyiJfHKRI9Ul+ZPjSvKVWKBt5C+8fS4HpQZbp/pUJTE9bpKhNLNbF4WwyqCEFX0dM7SJ9Ta2HA==" saltValue="5uN7jya+ZfVx9IVo1a4maA==" spinCount="100000" sheet="1" objects="1" scenarios="1"/>
  <mergeCells count="7">
    <mergeCell ref="D4:Z11"/>
    <mergeCell ref="D12:Z12"/>
    <mergeCell ref="D29:R29"/>
    <mergeCell ref="D22:R22"/>
    <mergeCell ref="D15:N20"/>
    <mergeCell ref="D14:N14"/>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31245009-6A96-461D-AD3D-33295045C7F0}">
          <x14:formula1>
            <xm:f>Dropdown!$W$3:$W$6</xm:f>
          </x14:formula1>
          <xm:sqref>F31:F60 F24:F25</xm:sqref>
        </x14:dataValidation>
        <x14:dataValidation type="list" allowBlank="1" showInputMessage="1" showErrorMessage="1" xr:uid="{E95D8F38-B037-4BF8-A5FE-B111463AAE28}">
          <x14:formula1>
            <xm:f>Dropdown!$F$5:$F$11</xm:f>
          </x14:formula1>
          <xm:sqref>J24:J25 J31:J60</xm:sqref>
        </x14:dataValidation>
        <x14:dataValidation type="list" allowBlank="1" showInputMessage="1" showErrorMessage="1" xr:uid="{35E32907-1ACB-46ED-91DE-F1380324C83E}">
          <x14:formula1>
            <xm:f>'Organisation Details'!$G$33:$G$58</xm:f>
          </x14:formula1>
          <xm:sqref>D66:D95 D31:D60</xm:sqref>
        </x14:dataValidation>
        <x14:dataValidation type="list" allowBlank="1" showInputMessage="1" showErrorMessage="1" xr:uid="{4D404E05-DD98-4EE7-BB6F-2535B86B523F}">
          <x14:formula1>
            <xm:f>Dropdown!$C$3:$C$7</xm:f>
          </x14:formula1>
          <xm:sqref>D24:D25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F56CB-CA7B-432D-81DB-144883E110C1}">
  <sheetPr codeName="Sheet9">
    <tabColor theme="4" tint="0.39997558519241921"/>
  </sheetPr>
  <dimension ref="A1:AD104"/>
  <sheetViews>
    <sheetView showGridLines="0" showRowColHeaders="0" tabSelected="1" topLeftCell="B2" zoomScale="75" zoomScaleNormal="75" workbookViewId="0">
      <selection activeCell="Q19" sqref="Q19"/>
    </sheetView>
  </sheetViews>
  <sheetFormatPr defaultColWidth="0" defaultRowHeight="14.25" zeroHeight="1"/>
  <cols>
    <col min="1" max="1" width="16" style="1" hidden="1" customWidth="1"/>
    <col min="2" max="2" width="4.28515625" style="1" customWidth="1"/>
    <col min="3" max="3" width="4.7109375" style="39" customWidth="1"/>
    <col min="4" max="4" width="36.28515625" style="1" customWidth="1"/>
    <col min="5" max="5" width="44.28515625" style="1" customWidth="1"/>
    <col min="6" max="6" width="29.28515625" style="1" customWidth="1"/>
    <col min="7" max="7" width="15.140625" style="1" hidden="1" customWidth="1"/>
    <col min="8" max="8" width="15.42578125" style="1" hidden="1" customWidth="1"/>
    <col min="9" max="9" width="15.140625" style="1" customWidth="1"/>
    <col min="10" max="10" width="22.140625" style="1" customWidth="1"/>
    <col min="11" max="11" width="22.140625" style="1" hidden="1" customWidth="1"/>
    <col min="12" max="12" width="21.140625" style="1" hidden="1" customWidth="1"/>
    <col min="13" max="13" width="10.7109375" style="1" hidden="1" customWidth="1"/>
    <col min="14" max="14" width="20.85546875" style="1" customWidth="1"/>
    <col min="15" max="15" width="25.85546875" style="1" customWidth="1"/>
    <col min="16" max="16" width="35.85546875" style="1" customWidth="1"/>
    <col min="17" max="17" width="37.140625" style="1" customWidth="1"/>
    <col min="18" max="18" width="43.42578125" style="1" customWidth="1"/>
    <col min="19" max="29" width="14" style="1" customWidth="1"/>
    <col min="30" max="30" width="14" style="40" customWidth="1"/>
    <col min="31" max="16384" width="14" style="1" hidden="1"/>
  </cols>
  <sheetData>
    <row r="1" spans="1:30" ht="14.1" hidden="1" customHeight="1">
      <c r="C1" s="1"/>
      <c r="D1" s="4"/>
      <c r="E1" s="4"/>
      <c r="F1" s="4"/>
      <c r="G1" s="4"/>
      <c r="H1" s="4"/>
      <c r="I1" s="4"/>
      <c r="J1" s="4"/>
      <c r="K1" s="4"/>
      <c r="L1" s="4"/>
      <c r="M1" s="4"/>
      <c r="N1" s="4"/>
      <c r="O1" s="4"/>
      <c r="P1" s="4"/>
      <c r="Q1" s="4"/>
      <c r="R1" s="4"/>
      <c r="S1" s="4"/>
      <c r="T1" s="4"/>
      <c r="U1" s="4"/>
      <c r="V1" s="4"/>
      <c r="W1" s="4"/>
      <c r="X1" s="4"/>
      <c r="Y1" s="4"/>
      <c r="Z1" s="4"/>
      <c r="AD1" s="1"/>
    </row>
    <row r="2" spans="1:30" ht="13.5" customHeight="1">
      <c r="A2" s="1" t="str">
        <f>Introduction!$E$14</f>
        <v>Føroyskt</v>
      </c>
      <c r="B2" s="6"/>
      <c r="C2" s="4"/>
      <c r="D2" s="4"/>
      <c r="E2" s="4"/>
      <c r="F2" s="4"/>
      <c r="G2" s="4"/>
      <c r="H2" s="4"/>
      <c r="I2" s="4"/>
      <c r="J2" s="4"/>
      <c r="K2" s="4"/>
      <c r="L2" s="4"/>
      <c r="M2" s="4"/>
      <c r="N2" s="4"/>
      <c r="O2" s="4"/>
      <c r="P2" s="4"/>
      <c r="Q2" s="4"/>
      <c r="R2" s="4"/>
      <c r="S2" s="4"/>
      <c r="T2" s="4"/>
      <c r="U2" s="4"/>
      <c r="V2" s="4"/>
      <c r="W2" s="4"/>
      <c r="X2" s="4"/>
      <c r="Y2" s="4"/>
      <c r="Z2" s="4"/>
      <c r="AA2" s="4"/>
      <c r="AB2" s="4"/>
      <c r="AC2" s="4"/>
      <c r="AD2" s="4"/>
    </row>
    <row r="3" spans="1:30">
      <c r="A3" s="3" t="s">
        <v>0</v>
      </c>
      <c r="B3" s="4"/>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37"/>
    </row>
    <row r="4" spans="1:30" ht="5.0999999999999996" customHeight="1">
      <c r="A4" s="1" t="s">
        <v>105</v>
      </c>
      <c r="B4" s="5"/>
      <c r="C4" s="12"/>
      <c r="D4" s="418" t="str">
        <f>IF($A$2="English",_xlfn.XLOOKUP($A$3,Descriptions!$A:$A,Descriptions!$B:$B),_xlfn.XLOOKUP($A$3,Descriptions!$A:$A,Descriptions!$C:$C))</f>
        <v>Føroyskur CO2-roknari. Ár: 2023</v>
      </c>
      <c r="E4" s="418"/>
      <c r="F4" s="418"/>
      <c r="G4" s="418"/>
      <c r="H4" s="418"/>
      <c r="I4" s="418"/>
      <c r="J4" s="418"/>
      <c r="K4" s="418"/>
      <c r="L4" s="418"/>
      <c r="M4" s="418"/>
      <c r="N4" s="418"/>
      <c r="O4" s="418"/>
      <c r="P4" s="418"/>
      <c r="Q4" s="418"/>
      <c r="R4" s="418"/>
      <c r="S4" s="418"/>
      <c r="T4" s="418"/>
      <c r="U4" s="67"/>
      <c r="V4" s="67"/>
      <c r="W4" s="67"/>
      <c r="X4" s="67"/>
      <c r="Y4" s="67"/>
      <c r="Z4" s="67"/>
      <c r="AA4" s="67"/>
      <c r="AB4" s="67"/>
      <c r="AC4" s="67"/>
      <c r="AD4" s="151"/>
    </row>
    <row r="5" spans="1:30" ht="5.0999999999999996" customHeight="1">
      <c r="A5" s="1" t="s">
        <v>237</v>
      </c>
      <c r="B5" s="4"/>
      <c r="C5" s="12"/>
      <c r="D5" s="418"/>
      <c r="E5" s="418"/>
      <c r="F5" s="418"/>
      <c r="G5" s="418"/>
      <c r="H5" s="418"/>
      <c r="I5" s="418"/>
      <c r="J5" s="418"/>
      <c r="K5" s="418"/>
      <c r="L5" s="418"/>
      <c r="M5" s="418"/>
      <c r="N5" s="418"/>
      <c r="O5" s="418"/>
      <c r="P5" s="418"/>
      <c r="Q5" s="418"/>
      <c r="R5" s="418"/>
      <c r="S5" s="418"/>
      <c r="T5" s="418"/>
      <c r="U5" s="67"/>
      <c r="V5" s="67"/>
      <c r="W5" s="67"/>
      <c r="X5" s="67"/>
      <c r="Y5" s="67"/>
      <c r="Z5" s="67"/>
      <c r="AA5" s="67"/>
      <c r="AB5" s="67"/>
      <c r="AC5" s="67"/>
      <c r="AD5" s="151"/>
    </row>
    <row r="6" spans="1:30" ht="5.0999999999999996" customHeight="1">
      <c r="A6" s="1" t="s">
        <v>238</v>
      </c>
      <c r="B6" s="4"/>
      <c r="C6" s="12"/>
      <c r="D6" s="418"/>
      <c r="E6" s="418"/>
      <c r="F6" s="418"/>
      <c r="G6" s="418"/>
      <c r="H6" s="418"/>
      <c r="I6" s="418"/>
      <c r="J6" s="418"/>
      <c r="K6" s="418"/>
      <c r="L6" s="418"/>
      <c r="M6" s="418"/>
      <c r="N6" s="418"/>
      <c r="O6" s="418"/>
      <c r="P6" s="418"/>
      <c r="Q6" s="418"/>
      <c r="R6" s="418"/>
      <c r="S6" s="418"/>
      <c r="T6" s="418"/>
      <c r="U6" s="67"/>
      <c r="V6" s="67"/>
      <c r="W6" s="67"/>
      <c r="X6" s="67"/>
      <c r="Y6" s="67"/>
      <c r="Z6" s="67"/>
      <c r="AA6" s="67"/>
      <c r="AB6" s="67"/>
      <c r="AC6" s="67"/>
      <c r="AD6" s="151"/>
    </row>
    <row r="7" spans="1:30" ht="5.0999999999999996" customHeight="1">
      <c r="A7" s="1" t="s">
        <v>167</v>
      </c>
      <c r="B7" s="4"/>
      <c r="C7" s="12"/>
      <c r="D7" s="418"/>
      <c r="E7" s="418"/>
      <c r="F7" s="418"/>
      <c r="G7" s="418"/>
      <c r="H7" s="418"/>
      <c r="I7" s="418"/>
      <c r="J7" s="418"/>
      <c r="K7" s="418"/>
      <c r="L7" s="418"/>
      <c r="M7" s="418"/>
      <c r="N7" s="418"/>
      <c r="O7" s="418"/>
      <c r="P7" s="418"/>
      <c r="Q7" s="418"/>
      <c r="R7" s="418"/>
      <c r="S7" s="418"/>
      <c r="T7" s="418"/>
      <c r="U7" s="67"/>
      <c r="V7" s="67"/>
      <c r="W7" s="67"/>
      <c r="X7" s="67"/>
      <c r="Y7" s="67"/>
      <c r="Z7" s="67"/>
      <c r="AA7" s="67"/>
      <c r="AB7" s="67"/>
      <c r="AC7" s="67"/>
      <c r="AD7" s="151"/>
    </row>
    <row r="8" spans="1:30" ht="5.0999999999999996" customHeight="1">
      <c r="A8" s="1" t="s">
        <v>168</v>
      </c>
      <c r="B8" s="4"/>
      <c r="C8" s="12"/>
      <c r="D8" s="418"/>
      <c r="E8" s="418"/>
      <c r="F8" s="418"/>
      <c r="G8" s="418"/>
      <c r="H8" s="418"/>
      <c r="I8" s="418"/>
      <c r="J8" s="418"/>
      <c r="K8" s="418"/>
      <c r="L8" s="418"/>
      <c r="M8" s="418"/>
      <c r="N8" s="418"/>
      <c r="O8" s="418"/>
      <c r="P8" s="418"/>
      <c r="Q8" s="418"/>
      <c r="R8" s="418"/>
      <c r="S8" s="418"/>
      <c r="T8" s="418"/>
      <c r="U8" s="67"/>
      <c r="V8" s="67"/>
      <c r="W8" s="67"/>
      <c r="X8" s="67"/>
      <c r="Y8" s="67"/>
      <c r="Z8" s="67"/>
      <c r="AA8" s="67"/>
      <c r="AB8" s="67"/>
      <c r="AC8" s="67"/>
      <c r="AD8" s="151"/>
    </row>
    <row r="9" spans="1:30" ht="5.0999999999999996" customHeight="1">
      <c r="A9" s="1" t="s">
        <v>169</v>
      </c>
      <c r="B9" s="4"/>
      <c r="C9" s="12"/>
      <c r="D9" s="418"/>
      <c r="E9" s="418"/>
      <c r="F9" s="418"/>
      <c r="G9" s="418"/>
      <c r="H9" s="418"/>
      <c r="I9" s="418"/>
      <c r="J9" s="418"/>
      <c r="K9" s="418"/>
      <c r="L9" s="418"/>
      <c r="M9" s="418"/>
      <c r="N9" s="418"/>
      <c r="O9" s="418"/>
      <c r="P9" s="418"/>
      <c r="Q9" s="418"/>
      <c r="R9" s="418"/>
      <c r="S9" s="418"/>
      <c r="T9" s="418"/>
      <c r="U9" s="67"/>
      <c r="V9" s="67"/>
      <c r="W9" s="67"/>
      <c r="X9" s="67"/>
      <c r="Y9" s="67"/>
      <c r="Z9" s="67"/>
      <c r="AA9" s="67"/>
      <c r="AB9" s="67"/>
      <c r="AC9" s="67"/>
      <c r="AD9" s="151"/>
    </row>
    <row r="10" spans="1:30" ht="5.0999999999999996" customHeight="1">
      <c r="A10" s="1" t="s">
        <v>170</v>
      </c>
      <c r="B10" s="4"/>
      <c r="C10" s="12"/>
      <c r="D10" s="418"/>
      <c r="E10" s="418"/>
      <c r="F10" s="418"/>
      <c r="G10" s="418"/>
      <c r="H10" s="418"/>
      <c r="I10" s="418"/>
      <c r="J10" s="418"/>
      <c r="K10" s="418"/>
      <c r="L10" s="418"/>
      <c r="M10" s="418"/>
      <c r="N10" s="418"/>
      <c r="O10" s="418"/>
      <c r="P10" s="418"/>
      <c r="Q10" s="418"/>
      <c r="R10" s="418"/>
      <c r="S10" s="418"/>
      <c r="T10" s="418"/>
      <c r="U10" s="67"/>
      <c r="V10" s="67"/>
      <c r="W10" s="67"/>
      <c r="X10" s="67"/>
      <c r="Y10" s="67"/>
      <c r="Z10" s="67"/>
      <c r="AA10" s="67"/>
      <c r="AB10" s="67"/>
      <c r="AC10" s="67"/>
      <c r="AD10" s="151"/>
    </row>
    <row r="11" spans="1:30" ht="5.0999999999999996" customHeight="1">
      <c r="A11" s="1" t="s">
        <v>171</v>
      </c>
      <c r="B11" s="4"/>
      <c r="C11" s="12"/>
      <c r="D11" s="418"/>
      <c r="E11" s="418"/>
      <c r="F11" s="418"/>
      <c r="G11" s="418"/>
      <c r="H11" s="418"/>
      <c r="I11" s="418"/>
      <c r="J11" s="418"/>
      <c r="K11" s="418"/>
      <c r="L11" s="418"/>
      <c r="M11" s="418"/>
      <c r="N11" s="418"/>
      <c r="O11" s="418"/>
      <c r="P11" s="418"/>
      <c r="Q11" s="418"/>
      <c r="R11" s="418"/>
      <c r="S11" s="418"/>
      <c r="T11" s="418"/>
      <c r="U11" s="67"/>
      <c r="V11" s="67"/>
      <c r="W11" s="67"/>
      <c r="X11" s="67"/>
      <c r="Y11" s="67"/>
      <c r="Z11" s="67"/>
      <c r="AA11" s="67"/>
      <c r="AB11" s="67"/>
      <c r="AC11" s="67"/>
      <c r="AD11" s="151"/>
    </row>
    <row r="12" spans="1:30" ht="99.95" customHeight="1">
      <c r="A12" s="1" t="s">
        <v>172</v>
      </c>
      <c r="B12" s="4"/>
      <c r="C12" s="12"/>
      <c r="D12" s="419" t="str">
        <f>IF($A$2="English",_xlfn.XLOOKUP($A$4,Descriptions!$A:$A,Descriptions!$B:$B),_xlfn.XLOOKUP($A$4,Descriptions!$A:$A,Descriptions!$C:$C))</f>
        <v>V2 - Fjarhiti</v>
      </c>
      <c r="E12" s="419"/>
      <c r="F12" s="419"/>
      <c r="G12" s="419"/>
      <c r="H12" s="419"/>
      <c r="I12" s="419"/>
      <c r="J12" s="419"/>
      <c r="K12" s="419"/>
      <c r="L12" s="419"/>
      <c r="M12" s="419"/>
      <c r="N12" s="419"/>
      <c r="O12" s="419"/>
      <c r="P12" s="419"/>
      <c r="Q12" s="419"/>
      <c r="R12" s="419"/>
      <c r="S12" s="419"/>
      <c r="T12" s="419"/>
      <c r="U12" s="67"/>
      <c r="V12" s="67"/>
      <c r="W12" s="67"/>
      <c r="X12" s="67"/>
      <c r="Y12" s="67"/>
      <c r="Z12" s="67"/>
      <c r="AA12" s="67"/>
      <c r="AB12" s="67"/>
      <c r="AC12" s="67"/>
      <c r="AD12" s="151"/>
    </row>
    <row r="13" spans="1:30">
      <c r="A13" s="1" t="s">
        <v>173</v>
      </c>
      <c r="B13" s="4"/>
      <c r="C13" s="12"/>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1"/>
    </row>
    <row r="14" spans="1:30" ht="30" customHeight="1">
      <c r="A14" s="1" t="s">
        <v>175</v>
      </c>
      <c r="B14" s="4"/>
      <c r="C14" s="12"/>
      <c r="D14" s="437" t="str">
        <f>IF($A$2="English",_xlfn.XLOOKUP($A$27,Descriptions!$A:$A,Descriptions!$B:$B),_xlfn.XLOOKUP($A$27,Descriptions!$A:$A,Descriptions!$C:$C))</f>
        <v>Vegleiðing</v>
      </c>
      <c r="E14" s="437"/>
      <c r="F14" s="437"/>
      <c r="G14" s="437"/>
      <c r="H14" s="437"/>
      <c r="I14" s="437"/>
      <c r="J14" s="437"/>
      <c r="K14" s="437"/>
      <c r="L14" s="437"/>
      <c r="M14" s="437"/>
      <c r="N14" s="437"/>
      <c r="O14" s="348"/>
      <c r="P14" s="347" t="str">
        <f>'V2 - Purchased Electricity'!P14</f>
        <v>Key</v>
      </c>
      <c r="Q14" s="67"/>
      <c r="R14" s="67"/>
      <c r="S14" s="67"/>
      <c r="T14" s="67"/>
      <c r="U14" s="67"/>
      <c r="V14" s="67"/>
      <c r="W14" s="67"/>
      <c r="X14" s="67"/>
      <c r="Y14" s="67"/>
      <c r="Z14" s="67"/>
      <c r="AA14" s="67"/>
      <c r="AB14" s="67"/>
      <c r="AC14" s="67"/>
      <c r="AD14" s="151"/>
    </row>
    <row r="15" spans="1:30" ht="14.1" customHeight="1">
      <c r="A15" s="1" t="s">
        <v>176</v>
      </c>
      <c r="B15" s="4"/>
      <c r="C15" s="12"/>
      <c r="D15" s="451" t="str">
        <f>IF($A$2="English",_xlfn.XLOOKUP($A$5,Descriptions!$A:$A,Descriptions!$B:$B),_xlfn.XLOOKUP($A$5,Descriptions!$A:$A,Descriptions!$C:$C))</f>
        <v>V2 - Fjarhiti, um viðkomandi, fevnir um útlát frá damp-, hita- og køliveiting gjøgnum netið. Brúkarin skal savna dátur um alla hitanýtslu í hølum/ognum fyritøkunnar.
Kravdar dátur:
• Fasilitetur/ogn og staðseting (har fjarhiting verður nýttur)
• Virksemi (har fjarhiti verður nýttur)
• Fjarhitakelda 
• Nøgd av fjarhita
• Eind fyri fjarhitanýtslu
GG:
• Útlátsfaktorur fyri fjarhita er í løtuni bert tøkur fyri Havnina. Útlátsfaktorar fyri onnur øki verða væntandi tøk í framtíðarútgávum av roknaranum, og so hvørt tørvur verður á tí. Í løtuni eru útlátsfaktorarnir fyri fjarhita í Tórshavn og 'Default' teir somu. Er talan um fjarhita í Havn, vel so  'Tórshavn' sum fjarhitakeldu. Er talan um økishiting uttan fyri Havnina, so vel 'Default' sum fjarhitakeldu.</v>
      </c>
      <c r="E15" s="451"/>
      <c r="F15" s="451"/>
      <c r="G15" s="451"/>
      <c r="H15" s="451"/>
      <c r="I15" s="451"/>
      <c r="J15" s="451"/>
      <c r="K15" s="451"/>
      <c r="L15" s="451"/>
      <c r="M15" s="451"/>
      <c r="N15" s="451"/>
      <c r="O15" s="67"/>
      <c r="P15" s="81" t="str">
        <f>'V2 - Purchased Electricity'!P15</f>
        <v>Dátuíkast - Fallmynd</v>
      </c>
      <c r="Q15" s="94"/>
      <c r="R15" s="67"/>
      <c r="S15" s="67"/>
      <c r="T15" s="67"/>
      <c r="U15" s="67"/>
      <c r="V15" s="67"/>
      <c r="W15" s="67"/>
      <c r="X15" s="67"/>
      <c r="Y15" s="67"/>
      <c r="Z15" s="67"/>
      <c r="AA15" s="67"/>
      <c r="AB15" s="67"/>
      <c r="AC15" s="67"/>
      <c r="AD15" s="151"/>
    </row>
    <row r="16" spans="1:30" ht="14.1" customHeight="1">
      <c r="A16" s="1" t="s">
        <v>177</v>
      </c>
      <c r="B16" s="4"/>
      <c r="C16" s="12"/>
      <c r="D16" s="451"/>
      <c r="E16" s="451"/>
      <c r="F16" s="451"/>
      <c r="G16" s="451"/>
      <c r="H16" s="451"/>
      <c r="I16" s="451"/>
      <c r="J16" s="451"/>
      <c r="K16" s="451"/>
      <c r="L16" s="451"/>
      <c r="M16" s="451"/>
      <c r="N16" s="451"/>
      <c r="O16" s="67"/>
      <c r="P16" s="82" t="str">
        <f>'V2 - Purchased Electricity'!P16</f>
        <v>Dátuíkast - Tøppa inn</v>
      </c>
      <c r="Q16" s="94"/>
      <c r="R16" s="94"/>
      <c r="S16" s="67"/>
      <c r="T16" s="67"/>
      <c r="U16" s="67"/>
      <c r="V16" s="67"/>
      <c r="W16" s="67"/>
      <c r="X16" s="67"/>
      <c r="Y16" s="67"/>
      <c r="Z16" s="67"/>
      <c r="AA16" s="67"/>
      <c r="AB16" s="67"/>
      <c r="AC16" s="67"/>
      <c r="AD16" s="151"/>
    </row>
    <row r="17" spans="1:30" ht="14.1" customHeight="1">
      <c r="A17" s="1" t="s">
        <v>178</v>
      </c>
      <c r="B17" s="4"/>
      <c r="C17" s="12"/>
      <c r="D17" s="451"/>
      <c r="E17" s="451"/>
      <c r="F17" s="451"/>
      <c r="G17" s="451"/>
      <c r="H17" s="451"/>
      <c r="I17" s="451"/>
      <c r="J17" s="451"/>
      <c r="K17" s="451"/>
      <c r="L17" s="451"/>
      <c r="M17" s="451"/>
      <c r="N17" s="451"/>
      <c r="O17" s="67"/>
      <c r="P17" s="302" t="str">
        <f>'V2 - Purchased Electricity'!P17</f>
        <v>Leiting (fastløst)</v>
      </c>
      <c r="Q17" s="94"/>
      <c r="R17" s="94"/>
      <c r="S17" s="67"/>
      <c r="T17" s="67"/>
      <c r="U17" s="67"/>
      <c r="V17" s="67"/>
      <c r="W17" s="67"/>
      <c r="X17" s="67"/>
      <c r="Y17" s="67"/>
      <c r="Z17" s="67"/>
      <c r="AA17" s="67"/>
      <c r="AB17" s="67"/>
      <c r="AC17" s="67"/>
      <c r="AD17" s="151"/>
    </row>
    <row r="18" spans="1:30" ht="14.1" customHeight="1">
      <c r="A18" s="1" t="s">
        <v>179</v>
      </c>
      <c r="B18" s="4"/>
      <c r="C18" s="12"/>
      <c r="D18" s="451"/>
      <c r="E18" s="451"/>
      <c r="F18" s="451"/>
      <c r="G18" s="451"/>
      <c r="H18" s="451"/>
      <c r="I18" s="451"/>
      <c r="J18" s="451"/>
      <c r="K18" s="451"/>
      <c r="L18" s="451"/>
      <c r="M18" s="451"/>
      <c r="N18" s="451"/>
      <c r="O18" s="67"/>
      <c r="P18" s="83" t="str">
        <f>'V2 - Purchased Electricity'!P18</f>
        <v>Útrokning</v>
      </c>
      <c r="Q18" s="94"/>
      <c r="R18" s="94"/>
      <c r="S18" s="67"/>
      <c r="T18" s="67"/>
      <c r="U18" s="67"/>
      <c r="V18" s="67"/>
      <c r="W18" s="67"/>
      <c r="X18" s="67"/>
      <c r="Y18" s="67"/>
      <c r="Z18" s="67"/>
      <c r="AA18" s="67"/>
      <c r="AB18" s="67"/>
      <c r="AC18" s="67"/>
      <c r="AD18" s="151"/>
    </row>
    <row r="19" spans="1:30" ht="80.099999999999994" customHeight="1">
      <c r="A19" s="1" t="s">
        <v>180</v>
      </c>
      <c r="B19" s="4"/>
      <c r="C19" s="12"/>
      <c r="D19" s="451"/>
      <c r="E19" s="451"/>
      <c r="F19" s="451"/>
      <c r="G19" s="451"/>
      <c r="H19" s="451"/>
      <c r="I19" s="451"/>
      <c r="J19" s="451"/>
      <c r="K19" s="451"/>
      <c r="L19" s="451"/>
      <c r="M19" s="451"/>
      <c r="N19" s="451"/>
      <c r="O19" s="67"/>
      <c r="P19" s="152"/>
      <c r="Q19" s="94"/>
      <c r="R19" s="94"/>
      <c r="S19" s="67"/>
      <c r="T19" s="67"/>
      <c r="U19" s="67"/>
      <c r="V19" s="67"/>
      <c r="W19" s="67"/>
      <c r="X19" s="67"/>
      <c r="Y19" s="67"/>
      <c r="Z19" s="67"/>
      <c r="AA19" s="67"/>
      <c r="AB19" s="67"/>
      <c r="AC19" s="67"/>
      <c r="AD19" s="151"/>
    </row>
    <row r="20" spans="1:30" ht="80.099999999999994" customHeight="1">
      <c r="A20" s="1" t="s">
        <v>181</v>
      </c>
      <c r="B20" s="4"/>
      <c r="C20" s="12"/>
      <c r="D20" s="451"/>
      <c r="E20" s="451"/>
      <c r="F20" s="451"/>
      <c r="G20" s="451"/>
      <c r="H20" s="451"/>
      <c r="I20" s="451"/>
      <c r="J20" s="451"/>
      <c r="K20" s="451"/>
      <c r="L20" s="451"/>
      <c r="M20" s="451"/>
      <c r="N20" s="451"/>
      <c r="O20" s="67"/>
      <c r="P20" s="67"/>
      <c r="Q20" s="94"/>
      <c r="R20" s="94"/>
      <c r="S20" s="67"/>
      <c r="T20" s="67"/>
      <c r="U20" s="67"/>
      <c r="V20" s="67"/>
      <c r="W20" s="67"/>
      <c r="X20" s="67"/>
      <c r="Y20" s="67"/>
      <c r="Z20" s="67"/>
      <c r="AA20" s="67"/>
      <c r="AB20" s="67"/>
      <c r="AC20" s="67"/>
      <c r="AD20" s="151"/>
    </row>
    <row r="21" spans="1:30" ht="15.6" customHeight="1">
      <c r="A21" s="1" t="s">
        <v>182</v>
      </c>
      <c r="B21" s="4"/>
      <c r="C21" s="12"/>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151"/>
    </row>
    <row r="22" spans="1:30" ht="30" customHeight="1">
      <c r="A22" s="1" t="s">
        <v>183</v>
      </c>
      <c r="B22" s="4"/>
      <c r="C22" s="12"/>
      <c r="D22" s="438" t="str">
        <f>IF($A$2="English",_xlfn.XLOOKUP($A$28,Descriptions!$A:$A,Descriptions!$B:$B),_xlfn.XLOOKUP($A$28,Descriptions!$A:$A,Descriptions!$C:$C))</f>
        <v>Dømi</v>
      </c>
      <c r="E22" s="438"/>
      <c r="F22" s="438"/>
      <c r="G22" s="438"/>
      <c r="H22" s="438"/>
      <c r="I22" s="438"/>
      <c r="J22" s="438"/>
      <c r="K22" s="438"/>
      <c r="L22" s="438"/>
      <c r="M22" s="438"/>
      <c r="N22" s="438"/>
      <c r="O22" s="438"/>
      <c r="P22" s="438"/>
      <c r="Q22" s="438"/>
      <c r="R22" s="438"/>
      <c r="S22" s="67"/>
      <c r="T22" s="67"/>
      <c r="U22" s="67"/>
      <c r="V22" s="67"/>
      <c r="W22" s="67"/>
      <c r="X22" s="67"/>
      <c r="Y22" s="67"/>
      <c r="Z22" s="67"/>
      <c r="AA22" s="67"/>
      <c r="AB22" s="67"/>
      <c r="AC22" s="67"/>
      <c r="AD22" s="151"/>
    </row>
    <row r="23" spans="1:30" ht="30" customHeight="1">
      <c r="A23" s="1" t="s">
        <v>199</v>
      </c>
      <c r="B23" s="4"/>
      <c r="C23" s="12"/>
      <c r="D23" s="331" t="str">
        <f>IF($A$2="English",_xlfn.XLOOKUP($A$8,Descriptions!$A:$A,Descriptions!$B:$B),_xlfn.XLOOKUP($A$8,Descriptions!$A:$A,Descriptions!$C:$C))</f>
        <v>Fasilitetur/Ogn og staðseting</v>
      </c>
      <c r="E23" s="331" t="str">
        <f>IF($A$2="English",_xlfn.XLOOKUP($A$9,Descriptions!$A:$A,Descriptions!$B:$B),_xlfn.XLOOKUP($A$9,Descriptions!$A:$A,Descriptions!$C:$C))</f>
        <v>Virksemi</v>
      </c>
      <c r="F23" s="331" t="str">
        <f>IF($A$2="English",_xlfn.XLOOKUP($A$6,Descriptions!$A:$A,Descriptions!$B:$B),_xlfn.XLOOKUP($A$6,Descriptions!$A:$A,Descriptions!$C:$C))</f>
        <v>Fjarhitakelda</v>
      </c>
      <c r="G23" s="331" t="s">
        <v>230</v>
      </c>
      <c r="H23" s="331" t="s">
        <v>185</v>
      </c>
      <c r="I23" s="331" t="str">
        <f>IF($A$2="English",_xlfn.XLOOKUP($A$13,Descriptions!$A:$A,Descriptions!$B:$B),_xlfn.XLOOKUP($A$13,Descriptions!$A:$A,Descriptions!$C:$C))</f>
        <v>Nøgd</v>
      </c>
      <c r="J23" s="331" t="str">
        <f>IF($A$2="English",_xlfn.XLOOKUP($A$14,Descriptions!$A:$A,Descriptions!$B:$B),_xlfn.XLOOKUP($A$14,Descriptions!$A:$A,Descriptions!$C:$C))</f>
        <v>Eindir</v>
      </c>
      <c r="K23" s="331" t="s">
        <v>186</v>
      </c>
      <c r="L23" s="331" t="s">
        <v>187</v>
      </c>
      <c r="M23" s="331" t="s">
        <v>188</v>
      </c>
      <c r="N23" s="331" t="str">
        <f>IF($A$2="English",_xlfn.XLOOKUP($A$18,Descriptions!$A:$A,Descriptions!$B:$B),_xlfn.XLOOKUP($A$18,Descriptions!$A:$A,Descriptions!$C:$C))</f>
        <v>Útlátsfaktorur</v>
      </c>
      <c r="O23" s="331" t="str">
        <f>IF($A$2="English",_xlfn.XLOOKUP($A$19,Descriptions!$A:$A,Descriptions!$B:$B),_xlfn.XLOOKUP($A$19,Descriptions!$A:$A,Descriptions!$C:$C))</f>
        <v>Útlátsfaktorur Eind</v>
      </c>
      <c r="P23" s="331" t="str">
        <f>IF($A$2="English",_xlfn.XLOOKUP($A$20,Descriptions!$A:$A,Descriptions!$B:$B),_xlfn.XLOOKUP($A$20,Descriptions!$A:$A,Descriptions!$C:$C))</f>
        <v>Útlát av vakstrarhúsgassi (tons av CO2e)</v>
      </c>
      <c r="Q23" s="331" t="str">
        <f>IF($A$2="English",_xlfn.XLOOKUP($A$21,Descriptions!$A:$A,Descriptions!$B:$B),_xlfn.XLOOKUP($A$21,Descriptions!$A:$A,Descriptions!$C:$C))</f>
        <v>Kelda Útlátsfaktorur</v>
      </c>
      <c r="R23" s="331" t="str">
        <f>IF($A$2="English",_xlfn.XLOOKUP($A$22,Descriptions!$A:$A,Descriptions!$B:$B),_xlfn.XLOOKUP($A$22,Descriptions!$A:$A,Descriptions!$C:$C))</f>
        <v>Viðmerking frá brúkara</v>
      </c>
      <c r="S23" s="67"/>
      <c r="T23" s="67"/>
      <c r="U23" s="67"/>
      <c r="V23" s="67"/>
      <c r="W23" s="67"/>
      <c r="X23" s="67"/>
      <c r="Y23" s="67"/>
      <c r="Z23" s="67"/>
      <c r="AA23" s="67"/>
      <c r="AB23" s="67"/>
      <c r="AC23" s="67"/>
      <c r="AD23" s="151"/>
    </row>
    <row r="24" spans="1:30">
      <c r="A24" s="1" t="s">
        <v>184</v>
      </c>
      <c r="B24" s="4"/>
      <c r="C24" s="12"/>
      <c r="D24" s="162" t="s">
        <v>189</v>
      </c>
      <c r="E24" s="124" t="s">
        <v>239</v>
      </c>
      <c r="F24" s="125" t="s">
        <v>142</v>
      </c>
      <c r="G24" s="108" t="s">
        <v>240</v>
      </c>
      <c r="H24" s="108" t="str">
        <f t="shared" ref="H24:H25" si="0">G24&amp;F24</f>
        <v>District HeatingTórshavn</v>
      </c>
      <c r="I24" s="126">
        <v>180000</v>
      </c>
      <c r="J24" s="125" t="s">
        <v>204</v>
      </c>
      <c r="K24" s="108" t="str">
        <f t="shared" ref="K24:K25" si="1">IF(J24="","",J24)</f>
        <v>kWh</v>
      </c>
      <c r="L24" s="108" t="str">
        <f>IF(J24="","",_xlfn.XLOOKUP(H24,'Emission Factors'!$M$186:$M$190,'Emission Factors'!$U$186:$U$190))</f>
        <v>kWh</v>
      </c>
      <c r="M24" s="109">
        <f>IF(J24="","",INDEX(Conversions!$C$4:$I$10,MATCH('V2 - District Heating'!$K24,Conversions!$B$4:$B$10,0),MATCH('V2 - District Heating'!$L24,Conversions!$C$3:$I$3,0)))</f>
        <v>1</v>
      </c>
      <c r="N24" s="458">
        <f>IF(J24="","",_xlfn.XLOOKUP(H24,'Emission Factors'!$M$186:$M$190,'Emission Factors'!$T$186:$T$190)*M24)</f>
        <v>0.126</v>
      </c>
      <c r="O24" s="311" t="str">
        <f t="shared" ref="O24:O25" si="2">IF(J24="","","kgCO2e/"&amp;K24)</f>
        <v>kgCO2e/kWh</v>
      </c>
      <c r="P24" s="128">
        <f>IF(ISBLANK(I24)=TRUE,"",IF(ISBLANK(N24)=TRUE,"",I24*N24)/1000)</f>
        <v>22.68</v>
      </c>
      <c r="Q24" s="306" t="str">
        <f>IF(J24="","",_xlfn.XLOOKUP(H24,'Emission Factors'!$M:$M,'Emission Factors'!$W:$W))</f>
        <v>Umhvørvisstovan - 2023</v>
      </c>
      <c r="R24" s="163"/>
      <c r="S24" s="67"/>
      <c r="T24" s="67"/>
      <c r="U24" s="67"/>
      <c r="V24" s="67"/>
      <c r="W24" s="67"/>
      <c r="X24" s="67"/>
      <c r="Y24" s="67"/>
      <c r="Z24" s="67"/>
      <c r="AA24" s="67"/>
      <c r="AB24" s="67"/>
      <c r="AC24" s="67"/>
      <c r="AD24" s="151"/>
    </row>
    <row r="25" spans="1:30">
      <c r="A25" s="1" t="s">
        <v>146</v>
      </c>
      <c r="B25" s="4"/>
      <c r="C25" s="12"/>
      <c r="D25" s="162" t="s">
        <v>233</v>
      </c>
      <c r="E25" s="124" t="s">
        <v>239</v>
      </c>
      <c r="F25" s="125" t="s">
        <v>192</v>
      </c>
      <c r="G25" s="108" t="s">
        <v>240</v>
      </c>
      <c r="H25" s="108" t="str">
        <f t="shared" si="0"/>
        <v>District HeatingDefault</v>
      </c>
      <c r="I25" s="126">
        <v>32000</v>
      </c>
      <c r="J25" s="125" t="s">
        <v>204</v>
      </c>
      <c r="K25" s="108" t="str">
        <f t="shared" si="1"/>
        <v>kWh</v>
      </c>
      <c r="L25" s="108" t="str">
        <f>IF(J25="","",_xlfn.XLOOKUP(H25,'Emission Factors'!$M$186:$M$190,'Emission Factors'!$U$186:$U$190))</f>
        <v>kWh</v>
      </c>
      <c r="M25" s="109">
        <f>IF(J25="","",INDEX(Conversions!$C$4:$I$10,MATCH('V2 - District Heating'!$K25,Conversions!$B$4:$B$10,0),MATCH('V2 - District Heating'!$L25,Conversions!$C$3:$I$3,0)))</f>
        <v>1</v>
      </c>
      <c r="N25" s="458">
        <f>IF(J25="","",_xlfn.XLOOKUP(H25,'Emission Factors'!$M$186:$M$190,'Emission Factors'!$T$186:$T$190)*M25)</f>
        <v>0.126</v>
      </c>
      <c r="O25" s="311" t="str">
        <f t="shared" si="2"/>
        <v>kgCO2e/kWh</v>
      </c>
      <c r="P25" s="128">
        <f>IF(ISBLANK(I25)=TRUE,"",IF(ISBLANK(N25)=TRUE,"",I25*N25)/1000)</f>
        <v>4.032</v>
      </c>
      <c r="Q25" s="306" t="str">
        <f>IF(J25="","",_xlfn.XLOOKUP(H25,'Emission Factors'!$M:$M,'Emission Factors'!$W:$W))</f>
        <v>Umhvørvisstovan - 2023</v>
      </c>
      <c r="R25" s="163"/>
      <c r="S25" s="67"/>
      <c r="T25" s="67"/>
      <c r="U25" s="67"/>
      <c r="V25" s="67"/>
      <c r="W25" s="67"/>
      <c r="X25" s="67"/>
      <c r="Y25" s="67"/>
      <c r="Z25" s="67"/>
      <c r="AA25" s="67"/>
      <c r="AB25" s="67"/>
      <c r="AC25" s="67"/>
      <c r="AD25" s="151"/>
    </row>
    <row r="26" spans="1:30">
      <c r="A26" s="1" t="s">
        <v>115</v>
      </c>
      <c r="B26" s="4"/>
      <c r="C26" s="12"/>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1"/>
    </row>
    <row r="27" spans="1:30" ht="15.6" customHeight="1">
      <c r="A27" s="1" t="s">
        <v>131</v>
      </c>
      <c r="B27" s="4"/>
      <c r="C27" s="12"/>
      <c r="D27" s="337" t="str">
        <f>'V2 - Purchased Electricity'!D27</f>
        <v>Fyritøka</v>
      </c>
      <c r="E27" s="10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1"/>
    </row>
    <row r="28" spans="1:30" ht="17.25" customHeight="1">
      <c r="A28" s="1" t="s">
        <v>167</v>
      </c>
      <c r="B28" s="4"/>
      <c r="C28" s="12"/>
      <c r="D28" s="67"/>
      <c r="E28" s="67"/>
      <c r="F28" s="67"/>
      <c r="G28" s="67"/>
      <c r="H28" s="67"/>
      <c r="I28" s="67"/>
      <c r="J28" s="67"/>
      <c r="K28" s="67"/>
      <c r="L28" s="67"/>
      <c r="M28" s="67"/>
      <c r="N28" s="67"/>
      <c r="O28" s="67"/>
      <c r="P28" s="94"/>
      <c r="Q28" s="67"/>
      <c r="R28" s="67"/>
      <c r="S28" s="67"/>
      <c r="T28" s="67"/>
      <c r="U28" s="67"/>
      <c r="V28" s="67"/>
      <c r="W28" s="67"/>
      <c r="X28" s="67"/>
      <c r="Y28" s="67"/>
      <c r="Z28" s="67"/>
      <c r="AA28" s="67"/>
      <c r="AB28" s="67"/>
      <c r="AC28" s="67"/>
      <c r="AD28" s="151"/>
    </row>
    <row r="29" spans="1:30" ht="30" customHeight="1">
      <c r="B29" s="4"/>
      <c r="C29" s="12"/>
      <c r="D29" s="437" t="str">
        <f>IF($A$2="English",_xlfn.XLOOKUP($A$26,Descriptions!$A:$A,Descriptions!$B:$B),_xlfn.XLOOKUP($A$26,Descriptions!$A:$A,Descriptions!$C:$C))</f>
        <v>Talva við útlátsútrokningum</v>
      </c>
      <c r="E29" s="437"/>
      <c r="F29" s="437"/>
      <c r="G29" s="437"/>
      <c r="H29" s="437"/>
      <c r="I29" s="437"/>
      <c r="J29" s="437"/>
      <c r="K29" s="437"/>
      <c r="L29" s="437"/>
      <c r="M29" s="437"/>
      <c r="N29" s="437"/>
      <c r="O29" s="437"/>
      <c r="P29" s="437"/>
      <c r="Q29" s="437"/>
      <c r="R29" s="437"/>
      <c r="S29" s="67"/>
      <c r="T29" s="67"/>
      <c r="U29" s="67"/>
      <c r="V29" s="67"/>
      <c r="W29" s="67"/>
      <c r="X29" s="67"/>
      <c r="Y29" s="67"/>
      <c r="Z29" s="67"/>
      <c r="AA29" s="67"/>
      <c r="AB29" s="67"/>
      <c r="AC29" s="67"/>
      <c r="AD29" s="151"/>
    </row>
    <row r="30" spans="1:30" ht="30" customHeight="1">
      <c r="B30" s="4"/>
      <c r="C30" s="12"/>
      <c r="D30" s="331" t="str">
        <f t="shared" ref="D30:R30" si="3">D23</f>
        <v>Fasilitetur/Ogn og staðseting</v>
      </c>
      <c r="E30" s="331" t="str">
        <f t="shared" si="3"/>
        <v>Virksemi</v>
      </c>
      <c r="F30" s="331" t="str">
        <f t="shared" si="3"/>
        <v>Fjarhitakelda</v>
      </c>
      <c r="G30" s="331" t="str">
        <f t="shared" si="3"/>
        <v>Emissions Source</v>
      </c>
      <c r="H30" s="331" t="str">
        <f t="shared" si="3"/>
        <v>Concat</v>
      </c>
      <c r="I30" s="331" t="str">
        <f t="shared" si="3"/>
        <v>Nøgd</v>
      </c>
      <c r="J30" s="331" t="str">
        <f t="shared" si="3"/>
        <v>Eindir</v>
      </c>
      <c r="K30" s="331" t="str">
        <f t="shared" si="3"/>
        <v>Input Unit</v>
      </c>
      <c r="L30" s="331" t="str">
        <f t="shared" si="3"/>
        <v>Source Emission Factor Unit</v>
      </c>
      <c r="M30" s="331" t="str">
        <f t="shared" si="3"/>
        <v>Conversion Factor</v>
      </c>
      <c r="N30" s="331" t="str">
        <f t="shared" si="3"/>
        <v>Útlátsfaktorur</v>
      </c>
      <c r="O30" s="331" t="str">
        <f t="shared" si="3"/>
        <v>Útlátsfaktorur Eind</v>
      </c>
      <c r="P30" s="331" t="str">
        <f t="shared" si="3"/>
        <v>Útlát av vakstrarhúsgassi (tons av CO2e)</v>
      </c>
      <c r="Q30" s="331" t="str">
        <f t="shared" si="3"/>
        <v>Kelda Útlátsfaktorur</v>
      </c>
      <c r="R30" s="331" t="str">
        <f t="shared" si="3"/>
        <v>Viðmerking frá brúkara</v>
      </c>
      <c r="S30" s="67"/>
      <c r="T30" s="67"/>
      <c r="U30" s="67"/>
      <c r="V30" s="67"/>
      <c r="W30" s="67"/>
      <c r="X30" s="67"/>
      <c r="Y30" s="67"/>
      <c r="Z30" s="67"/>
      <c r="AA30" s="67"/>
      <c r="AB30" s="67"/>
      <c r="AC30" s="67"/>
      <c r="AD30" s="151"/>
    </row>
    <row r="31" spans="1:30">
      <c r="B31" s="4"/>
      <c r="C31" s="12"/>
      <c r="D31" s="123"/>
      <c r="E31" s="130"/>
      <c r="F31" s="131"/>
      <c r="G31" s="132" t="s">
        <v>240</v>
      </c>
      <c r="H31" s="132" t="str">
        <f>G31&amp;F31</f>
        <v>District Heating</v>
      </c>
      <c r="I31" s="133"/>
      <c r="J31" s="131"/>
      <c r="K31" s="108" t="str">
        <f>IF(J31="","",J31)</f>
        <v/>
      </c>
      <c r="L31" s="108" t="str">
        <f>IF(J31="","",_xlfn.XLOOKUP(H31,'Emission Factors'!$M$186:$M$190,'Emission Factors'!$U$186:$U$190))</f>
        <v/>
      </c>
      <c r="M31" s="109" t="str">
        <f>IF(J31="","",INDEX(Conversions!$C$4:$I$10,MATCH('V2 - District Heating'!$K31,Conversions!$B$4:$B$10,0),MATCH('V2 - District Heating'!$L31,Conversions!$C$3:$I$3,0)))</f>
        <v/>
      </c>
      <c r="N31" s="458" t="str">
        <f>IF(J31="","",_xlfn.XLOOKUP(H31,'Emission Factors'!$M$186:$M$190,'Emission Factors'!$T$186:$T$190)*M31)</f>
        <v/>
      </c>
      <c r="O31" s="311" t="str">
        <f>IF(J31="","","kgCO2e/"&amp;K31)</f>
        <v/>
      </c>
      <c r="P31" s="134" t="str">
        <f t="shared" ref="P31:P33" si="4">IF(ISBLANK(I31)=TRUE,"",IF(ISBLANK(N31)=TRUE,"",I31*N31)/1000)</f>
        <v/>
      </c>
      <c r="Q31" s="306" t="str">
        <f>IF(J31="","",_xlfn.XLOOKUP(H31,'Emission Factors'!$M:$M,'Emission Factors'!$W:$W))</f>
        <v/>
      </c>
      <c r="R31" s="164"/>
      <c r="S31" s="67"/>
      <c r="T31" s="67"/>
      <c r="U31" s="67"/>
      <c r="V31" s="67"/>
      <c r="W31" s="67"/>
      <c r="X31" s="67"/>
      <c r="Y31" s="67"/>
      <c r="Z31" s="67"/>
      <c r="AA31" s="67"/>
      <c r="AB31" s="67"/>
      <c r="AC31" s="67"/>
      <c r="AD31" s="151"/>
    </row>
    <row r="32" spans="1:30">
      <c r="B32" s="4"/>
      <c r="C32" s="12"/>
      <c r="D32" s="123"/>
      <c r="E32" s="136"/>
      <c r="F32" s="131"/>
      <c r="G32" s="132" t="s">
        <v>240</v>
      </c>
      <c r="H32" s="132" t="str">
        <f>G32&amp;F32</f>
        <v>District Heating</v>
      </c>
      <c r="I32" s="133"/>
      <c r="J32" s="131"/>
      <c r="K32" s="108" t="str">
        <f t="shared" ref="K32:K61" si="5">IF(J32="","",J32)</f>
        <v/>
      </c>
      <c r="L32" s="108" t="str">
        <f>IF(J32="","",_xlfn.XLOOKUP(H32,'Emission Factors'!$M$186:$M$190,'Emission Factors'!$U$186:$U$190))</f>
        <v/>
      </c>
      <c r="M32" s="109" t="str">
        <f>IF(J32="","",INDEX(Conversions!$C$4:$I$10,MATCH('V2 - District Heating'!$K32,Conversions!$B$4:$B$10,0),MATCH('V2 - District Heating'!$L32,Conversions!$C$3:$I$3,0)))</f>
        <v/>
      </c>
      <c r="N32" s="458" t="str">
        <f>IF(J32="","",_xlfn.XLOOKUP(H32,'Emission Factors'!$M$186:$M$190,'Emission Factors'!$T$186:$T$190)*M32)</f>
        <v/>
      </c>
      <c r="O32" s="311" t="str">
        <f t="shared" ref="O32:O61" si="6">IF(J32="","","kgCO2e/"&amp;K32)</f>
        <v/>
      </c>
      <c r="P32" s="134" t="str">
        <f t="shared" si="4"/>
        <v/>
      </c>
      <c r="Q32" s="306" t="str">
        <f>IF(J32="","",_xlfn.XLOOKUP(H32,'Emission Factors'!$M:$M,'Emission Factors'!$W:$W))</f>
        <v/>
      </c>
      <c r="R32" s="165"/>
      <c r="S32" s="67"/>
      <c r="T32" s="67"/>
      <c r="U32" s="67"/>
      <c r="V32" s="67"/>
      <c r="W32" s="67"/>
      <c r="X32" s="67"/>
      <c r="Y32" s="67"/>
      <c r="Z32" s="67"/>
      <c r="AA32" s="67"/>
      <c r="AB32" s="67"/>
      <c r="AC32" s="67"/>
      <c r="AD32" s="151"/>
    </row>
    <row r="33" spans="2:30">
      <c r="B33" s="4"/>
      <c r="C33" s="12"/>
      <c r="D33" s="123"/>
      <c r="E33" s="136"/>
      <c r="F33" s="131"/>
      <c r="G33" s="132" t="s">
        <v>240</v>
      </c>
      <c r="H33" s="132" t="str">
        <f t="shared" ref="H33:H61" si="7">G33&amp;F33</f>
        <v>District Heating</v>
      </c>
      <c r="I33" s="137"/>
      <c r="J33" s="131"/>
      <c r="K33" s="108" t="str">
        <f t="shared" si="5"/>
        <v/>
      </c>
      <c r="L33" s="108" t="str">
        <f>IF(J33="","",_xlfn.XLOOKUP(H33,'Emission Factors'!$M$186:$M$190,'Emission Factors'!$U$186:$U$190))</f>
        <v/>
      </c>
      <c r="M33" s="109" t="str">
        <f>IF(J33="","",INDEX(Conversions!$C$4:$I$10,MATCH('V2 - District Heating'!$K33,Conversions!$B$4:$B$10,0),MATCH('V2 - District Heating'!$L33,Conversions!$C$3:$I$3,0)))</f>
        <v/>
      </c>
      <c r="N33" s="458" t="str">
        <f>IF(J33="","",_xlfn.XLOOKUP(H33,'Emission Factors'!$M$186:$M$190,'Emission Factors'!$T$186:$T$190)*M33)</f>
        <v/>
      </c>
      <c r="O33" s="311" t="str">
        <f t="shared" si="6"/>
        <v/>
      </c>
      <c r="P33" s="134" t="str">
        <f t="shared" si="4"/>
        <v/>
      </c>
      <c r="Q33" s="306" t="str">
        <f>IF(J33="","",_xlfn.XLOOKUP(H33,'Emission Factors'!$M:$M,'Emission Factors'!$W:$W))</f>
        <v/>
      </c>
      <c r="R33" s="165"/>
      <c r="S33" s="67"/>
      <c r="T33" s="67"/>
      <c r="U33" s="67"/>
      <c r="V33" s="67"/>
      <c r="W33" s="67"/>
      <c r="X33" s="67"/>
      <c r="Y33" s="67"/>
      <c r="Z33" s="67"/>
      <c r="AA33" s="67"/>
      <c r="AB33" s="67"/>
      <c r="AC33" s="67"/>
      <c r="AD33" s="151"/>
    </row>
    <row r="34" spans="2:30">
      <c r="B34" s="4"/>
      <c r="C34" s="12"/>
      <c r="D34" s="123"/>
      <c r="E34" s="136"/>
      <c r="F34" s="131"/>
      <c r="G34" s="132" t="s">
        <v>240</v>
      </c>
      <c r="H34" s="132" t="str">
        <f t="shared" si="7"/>
        <v>District Heating</v>
      </c>
      <c r="I34" s="137"/>
      <c r="J34" s="131"/>
      <c r="K34" s="108" t="str">
        <f t="shared" si="5"/>
        <v/>
      </c>
      <c r="L34" s="108" t="str">
        <f>IF(J34="","",_xlfn.XLOOKUP(H34,'Emission Factors'!$M$186:$M$190,'Emission Factors'!$U$186:$U$190))</f>
        <v/>
      </c>
      <c r="M34" s="109" t="str">
        <f>IF(J34="","",INDEX(Conversions!$C$4:$I$10,MATCH('V2 - District Heating'!$K34,Conversions!$B$4:$B$10,0),MATCH('V2 - District Heating'!$L34,Conversions!$C$3:$I$3,0)))</f>
        <v/>
      </c>
      <c r="N34" s="458" t="str">
        <f>IF(J34="","",_xlfn.XLOOKUP(H34,'Emission Factors'!$M$186:$M$190,'Emission Factors'!$T$186:$T$190)*M34)</f>
        <v/>
      </c>
      <c r="O34" s="311" t="str">
        <f t="shared" si="6"/>
        <v/>
      </c>
      <c r="P34" s="134" t="str">
        <f>IF(ISBLANK(I34)=TRUE,"",IF(ISBLANK(N34)=TRUE,"",I34*N34)/1000)</f>
        <v/>
      </c>
      <c r="Q34" s="306" t="str">
        <f>IF(J34="","",_xlfn.XLOOKUP(H34,'Emission Factors'!$M:$M,'Emission Factors'!$W:$W))</f>
        <v/>
      </c>
      <c r="R34" s="165"/>
      <c r="S34" s="67"/>
      <c r="T34" s="67"/>
      <c r="U34" s="67"/>
      <c r="V34" s="67"/>
      <c r="W34" s="67"/>
      <c r="X34" s="67"/>
      <c r="Y34" s="67"/>
      <c r="Z34" s="67"/>
      <c r="AA34" s="67"/>
      <c r="AB34" s="67"/>
      <c r="AC34" s="67"/>
      <c r="AD34" s="151"/>
    </row>
    <row r="35" spans="2:30">
      <c r="B35" s="4"/>
      <c r="C35" s="12"/>
      <c r="D35" s="123"/>
      <c r="E35" s="138"/>
      <c r="F35" s="131"/>
      <c r="G35" s="132" t="s">
        <v>240</v>
      </c>
      <c r="H35" s="132" t="str">
        <f t="shared" si="7"/>
        <v>District Heating</v>
      </c>
      <c r="I35" s="137"/>
      <c r="J35" s="131"/>
      <c r="K35" s="108" t="str">
        <f t="shared" si="5"/>
        <v/>
      </c>
      <c r="L35" s="108" t="str">
        <f>IF(J35="","",_xlfn.XLOOKUP(H35,'Emission Factors'!$M$186:$M$190,'Emission Factors'!$U$186:$U$190))</f>
        <v/>
      </c>
      <c r="M35" s="109" t="str">
        <f>IF(J35="","",INDEX(Conversions!$C$4:$I$10,MATCH('V2 - District Heating'!$K35,Conversions!$B$4:$B$10,0),MATCH('V2 - District Heating'!$L35,Conversions!$C$3:$I$3,0)))</f>
        <v/>
      </c>
      <c r="N35" s="458" t="str">
        <f>IF(J35="","",_xlfn.XLOOKUP(H35,'Emission Factors'!$M$186:$M$190,'Emission Factors'!$T$186:$T$190)*M35)</f>
        <v/>
      </c>
      <c r="O35" s="311" t="str">
        <f t="shared" si="6"/>
        <v/>
      </c>
      <c r="P35" s="134" t="str">
        <f t="shared" ref="P35:P61" si="8">IF(ISBLANK(I35)=TRUE,"",IF(ISBLANK(N35)=TRUE,"",I35*N35)/1000)</f>
        <v/>
      </c>
      <c r="Q35" s="306" t="str">
        <f>IF(J35="","",_xlfn.XLOOKUP(H35,'Emission Factors'!$M:$M,'Emission Factors'!$W:$W))</f>
        <v/>
      </c>
      <c r="R35" s="165"/>
      <c r="S35" s="67"/>
      <c r="T35" s="67"/>
      <c r="U35" s="67"/>
      <c r="V35" s="67"/>
      <c r="W35" s="67"/>
      <c r="X35" s="67"/>
      <c r="Y35" s="67"/>
      <c r="Z35" s="67"/>
      <c r="AA35" s="67"/>
      <c r="AB35" s="67"/>
      <c r="AC35" s="67"/>
      <c r="AD35" s="151"/>
    </row>
    <row r="36" spans="2:30">
      <c r="B36" s="4"/>
      <c r="C36" s="12"/>
      <c r="D36" s="123"/>
      <c r="E36" s="136"/>
      <c r="F36" s="131"/>
      <c r="G36" s="132" t="s">
        <v>240</v>
      </c>
      <c r="H36" s="132" t="str">
        <f t="shared" si="7"/>
        <v>District Heating</v>
      </c>
      <c r="I36" s="137"/>
      <c r="J36" s="131"/>
      <c r="K36" s="108" t="str">
        <f t="shared" si="5"/>
        <v/>
      </c>
      <c r="L36" s="108" t="str">
        <f>IF(J36="","",_xlfn.XLOOKUP(H36,'Emission Factors'!$M$186:$M$190,'Emission Factors'!$U$186:$U$190))</f>
        <v/>
      </c>
      <c r="M36" s="109" t="str">
        <f>IF(J36="","",INDEX(Conversions!$C$4:$I$10,MATCH('V2 - District Heating'!$K36,Conversions!$B$4:$B$10,0),MATCH('V2 - District Heating'!$L36,Conversions!$C$3:$I$3,0)))</f>
        <v/>
      </c>
      <c r="N36" s="458" t="str">
        <f>IF(J36="","",_xlfn.XLOOKUP(H36,'Emission Factors'!$M$186:$M$190,'Emission Factors'!$T$186:$T$190)*M36)</f>
        <v/>
      </c>
      <c r="O36" s="311" t="str">
        <f t="shared" si="6"/>
        <v/>
      </c>
      <c r="P36" s="134" t="str">
        <f t="shared" si="8"/>
        <v/>
      </c>
      <c r="Q36" s="306" t="str">
        <f>IF(J36="","",_xlfn.XLOOKUP(H36,'Emission Factors'!$M:$M,'Emission Factors'!$W:$W))</f>
        <v/>
      </c>
      <c r="R36" s="165"/>
      <c r="S36" s="67"/>
      <c r="T36" s="67"/>
      <c r="U36" s="67"/>
      <c r="V36" s="67"/>
      <c r="W36" s="67"/>
      <c r="X36" s="67"/>
      <c r="Y36" s="67"/>
      <c r="Z36" s="67"/>
      <c r="AA36" s="67"/>
      <c r="AB36" s="67"/>
      <c r="AC36" s="67"/>
      <c r="AD36" s="151"/>
    </row>
    <row r="37" spans="2:30">
      <c r="B37" s="4"/>
      <c r="C37" s="12"/>
      <c r="D37" s="123"/>
      <c r="E37" s="136"/>
      <c r="F37" s="131"/>
      <c r="G37" s="132" t="s">
        <v>240</v>
      </c>
      <c r="H37" s="132" t="str">
        <f t="shared" si="7"/>
        <v>District Heating</v>
      </c>
      <c r="I37" s="137"/>
      <c r="J37" s="131"/>
      <c r="K37" s="108" t="str">
        <f t="shared" si="5"/>
        <v/>
      </c>
      <c r="L37" s="108" t="str">
        <f>IF(J37="","",_xlfn.XLOOKUP(H37,'Emission Factors'!$M$186:$M$190,'Emission Factors'!$U$186:$U$190))</f>
        <v/>
      </c>
      <c r="M37" s="109" t="str">
        <f>IF(J37="","",INDEX(Conversions!$C$4:$I$10,MATCH('V2 - District Heating'!$K37,Conversions!$B$4:$B$10,0),MATCH('V2 - District Heating'!$L37,Conversions!$C$3:$I$3,0)))</f>
        <v/>
      </c>
      <c r="N37" s="458" t="str">
        <f>IF(J37="","",_xlfn.XLOOKUP(H37,'Emission Factors'!$M$186:$M$190,'Emission Factors'!$T$186:$T$190)*M37)</f>
        <v/>
      </c>
      <c r="O37" s="311" t="str">
        <f t="shared" si="6"/>
        <v/>
      </c>
      <c r="P37" s="134" t="str">
        <f t="shared" si="8"/>
        <v/>
      </c>
      <c r="Q37" s="306" t="str">
        <f>IF(J37="","",_xlfn.XLOOKUP(H37,'Emission Factors'!$M:$M,'Emission Factors'!$W:$W))</f>
        <v/>
      </c>
      <c r="R37" s="165"/>
      <c r="S37" s="67"/>
      <c r="T37" s="67"/>
      <c r="U37" s="67"/>
      <c r="V37" s="67"/>
      <c r="W37" s="67"/>
      <c r="X37" s="67"/>
      <c r="Y37" s="67"/>
      <c r="Z37" s="67"/>
      <c r="AA37" s="67"/>
      <c r="AB37" s="67"/>
      <c r="AC37" s="67"/>
      <c r="AD37" s="151"/>
    </row>
    <row r="38" spans="2:30">
      <c r="B38" s="4"/>
      <c r="C38" s="12"/>
      <c r="D38" s="123"/>
      <c r="E38" s="136"/>
      <c r="F38" s="131"/>
      <c r="G38" s="132" t="s">
        <v>240</v>
      </c>
      <c r="H38" s="132" t="str">
        <f t="shared" si="7"/>
        <v>District Heating</v>
      </c>
      <c r="I38" s="137"/>
      <c r="J38" s="131"/>
      <c r="K38" s="108" t="str">
        <f t="shared" si="5"/>
        <v/>
      </c>
      <c r="L38" s="108" t="str">
        <f>IF(J38="","",_xlfn.XLOOKUP(H38,'Emission Factors'!$M$186:$M$190,'Emission Factors'!$U$186:$U$190))</f>
        <v/>
      </c>
      <c r="M38" s="109" t="str">
        <f>IF(J38="","",INDEX(Conversions!$C$4:$I$10,MATCH('V2 - District Heating'!$K38,Conversions!$B$4:$B$10,0),MATCH('V2 - District Heating'!$L38,Conversions!$C$3:$I$3,0)))</f>
        <v/>
      </c>
      <c r="N38" s="458" t="str">
        <f>IF(J38="","",_xlfn.XLOOKUP(H38,'Emission Factors'!$M$186:$M$190,'Emission Factors'!$T$186:$T$190)*M38)</f>
        <v/>
      </c>
      <c r="O38" s="311" t="str">
        <f t="shared" si="6"/>
        <v/>
      </c>
      <c r="P38" s="134" t="str">
        <f t="shared" si="8"/>
        <v/>
      </c>
      <c r="Q38" s="306" t="str">
        <f>IF(J38="","",_xlfn.XLOOKUP(H38,'Emission Factors'!$M:$M,'Emission Factors'!$W:$W))</f>
        <v/>
      </c>
      <c r="R38" s="165"/>
      <c r="S38" s="67"/>
      <c r="T38" s="67"/>
      <c r="U38" s="67"/>
      <c r="V38" s="67"/>
      <c r="W38" s="67"/>
      <c r="X38" s="67"/>
      <c r="Y38" s="67"/>
      <c r="Z38" s="67"/>
      <c r="AA38" s="67"/>
      <c r="AB38" s="67"/>
      <c r="AC38" s="67"/>
      <c r="AD38" s="151"/>
    </row>
    <row r="39" spans="2:30">
      <c r="B39" s="4"/>
      <c r="C39" s="12"/>
      <c r="D39" s="123"/>
      <c r="E39" s="136"/>
      <c r="F39" s="131"/>
      <c r="G39" s="132" t="s">
        <v>240</v>
      </c>
      <c r="H39" s="132" t="str">
        <f t="shared" si="7"/>
        <v>District Heating</v>
      </c>
      <c r="I39" s="137"/>
      <c r="J39" s="131"/>
      <c r="K39" s="108" t="str">
        <f t="shared" si="5"/>
        <v/>
      </c>
      <c r="L39" s="108" t="str">
        <f>IF(J39="","",_xlfn.XLOOKUP(H39,'Emission Factors'!$M$186:$M$190,'Emission Factors'!$U$186:$U$190))</f>
        <v/>
      </c>
      <c r="M39" s="109" t="str">
        <f>IF(J39="","",INDEX(Conversions!$C$4:$I$10,MATCH('V2 - District Heating'!$K39,Conversions!$B$4:$B$10,0),MATCH('V2 - District Heating'!$L39,Conversions!$C$3:$I$3,0)))</f>
        <v/>
      </c>
      <c r="N39" s="458" t="str">
        <f>IF(J39="","",_xlfn.XLOOKUP(H39,'Emission Factors'!$M$186:$M$190,'Emission Factors'!$T$186:$T$190)*M39)</f>
        <v/>
      </c>
      <c r="O39" s="311" t="str">
        <f t="shared" si="6"/>
        <v/>
      </c>
      <c r="P39" s="134" t="str">
        <f t="shared" si="8"/>
        <v/>
      </c>
      <c r="Q39" s="306" t="str">
        <f>IF(J39="","",_xlfn.XLOOKUP(H39,'Emission Factors'!$M:$M,'Emission Factors'!$W:$W))</f>
        <v/>
      </c>
      <c r="R39" s="165"/>
      <c r="S39" s="67"/>
      <c r="T39" s="67"/>
      <c r="U39" s="67"/>
      <c r="V39" s="67"/>
      <c r="W39" s="67"/>
      <c r="X39" s="67"/>
      <c r="Y39" s="67"/>
      <c r="Z39" s="67"/>
      <c r="AA39" s="67"/>
      <c r="AB39" s="67"/>
      <c r="AC39" s="67"/>
      <c r="AD39" s="151"/>
    </row>
    <row r="40" spans="2:30">
      <c r="B40" s="4"/>
      <c r="C40" s="12"/>
      <c r="D40" s="123"/>
      <c r="E40" s="136"/>
      <c r="F40" s="131"/>
      <c r="G40" s="132" t="s">
        <v>240</v>
      </c>
      <c r="H40" s="132" t="str">
        <f t="shared" si="7"/>
        <v>District Heating</v>
      </c>
      <c r="I40" s="137"/>
      <c r="J40" s="131"/>
      <c r="K40" s="108" t="str">
        <f t="shared" si="5"/>
        <v/>
      </c>
      <c r="L40" s="108" t="str">
        <f>IF(J40="","",_xlfn.XLOOKUP(H40,'Emission Factors'!$M$186:$M$190,'Emission Factors'!$U$186:$U$190))</f>
        <v/>
      </c>
      <c r="M40" s="109" t="str">
        <f>IF(J40="","",INDEX(Conversions!$C$4:$I$10,MATCH('V2 - District Heating'!$K40,Conversions!$B$4:$B$10,0),MATCH('V2 - District Heating'!$L40,Conversions!$C$3:$I$3,0)))</f>
        <v/>
      </c>
      <c r="N40" s="458" t="str">
        <f>IF(J40="","",_xlfn.XLOOKUP(H40,'Emission Factors'!$M$186:$M$190,'Emission Factors'!$T$186:$T$190)*M40)</f>
        <v/>
      </c>
      <c r="O40" s="311" t="str">
        <f t="shared" si="6"/>
        <v/>
      </c>
      <c r="P40" s="134" t="str">
        <f t="shared" si="8"/>
        <v/>
      </c>
      <c r="Q40" s="306" t="str">
        <f>IF(J40="","",_xlfn.XLOOKUP(H40,'Emission Factors'!$M:$M,'Emission Factors'!$W:$W))</f>
        <v/>
      </c>
      <c r="R40" s="165"/>
      <c r="S40" s="67"/>
      <c r="T40" s="67"/>
      <c r="U40" s="67"/>
      <c r="V40" s="67"/>
      <c r="W40" s="67"/>
      <c r="X40" s="67"/>
      <c r="Y40" s="67"/>
      <c r="Z40" s="67"/>
      <c r="AA40" s="67"/>
      <c r="AB40" s="67"/>
      <c r="AC40" s="67"/>
      <c r="AD40" s="151"/>
    </row>
    <row r="41" spans="2:30">
      <c r="B41" s="4"/>
      <c r="C41" s="12"/>
      <c r="D41" s="123"/>
      <c r="E41" s="136"/>
      <c r="F41" s="131"/>
      <c r="G41" s="132" t="s">
        <v>240</v>
      </c>
      <c r="H41" s="132" t="str">
        <f t="shared" si="7"/>
        <v>District Heating</v>
      </c>
      <c r="I41" s="137"/>
      <c r="J41" s="131"/>
      <c r="K41" s="108" t="str">
        <f t="shared" si="5"/>
        <v/>
      </c>
      <c r="L41" s="108" t="str">
        <f>IF(J41="","",_xlfn.XLOOKUP(H41,'Emission Factors'!$M$186:$M$190,'Emission Factors'!$U$186:$U$190))</f>
        <v/>
      </c>
      <c r="M41" s="109" t="str">
        <f>IF(J41="","",INDEX(Conversions!$C$4:$I$10,MATCH('V2 - District Heating'!$K41,Conversions!$B$4:$B$10,0),MATCH('V2 - District Heating'!$L41,Conversions!$C$3:$I$3,0)))</f>
        <v/>
      </c>
      <c r="N41" s="458" t="str">
        <f>IF(J41="","",_xlfn.XLOOKUP(H41,'Emission Factors'!$M$186:$M$190,'Emission Factors'!$T$186:$T$190)*M41)</f>
        <v/>
      </c>
      <c r="O41" s="311" t="str">
        <f t="shared" si="6"/>
        <v/>
      </c>
      <c r="P41" s="134" t="str">
        <f t="shared" si="8"/>
        <v/>
      </c>
      <c r="Q41" s="306" t="str">
        <f>IF(J41="","",_xlfn.XLOOKUP(H41,'Emission Factors'!$M:$M,'Emission Factors'!$W:$W))</f>
        <v/>
      </c>
      <c r="R41" s="165"/>
      <c r="S41" s="67"/>
      <c r="T41" s="67"/>
      <c r="U41" s="67"/>
      <c r="V41" s="67"/>
      <c r="W41" s="67"/>
      <c r="X41" s="67"/>
      <c r="Y41" s="67"/>
      <c r="Z41" s="67"/>
      <c r="AA41" s="67"/>
      <c r="AB41" s="67"/>
      <c r="AC41" s="67"/>
      <c r="AD41" s="151"/>
    </row>
    <row r="42" spans="2:30">
      <c r="B42" s="4"/>
      <c r="C42" s="12"/>
      <c r="D42" s="123"/>
      <c r="E42" s="136"/>
      <c r="F42" s="131"/>
      <c r="G42" s="132" t="s">
        <v>240</v>
      </c>
      <c r="H42" s="132" t="str">
        <f t="shared" si="7"/>
        <v>District Heating</v>
      </c>
      <c r="I42" s="137"/>
      <c r="J42" s="131"/>
      <c r="K42" s="108" t="str">
        <f t="shared" si="5"/>
        <v/>
      </c>
      <c r="L42" s="108" t="str">
        <f>IF(J42="","",_xlfn.XLOOKUP(H42,'Emission Factors'!$M$186:$M$190,'Emission Factors'!$U$186:$U$190))</f>
        <v/>
      </c>
      <c r="M42" s="109" t="str">
        <f>IF(J42="","",INDEX(Conversions!$C$4:$I$10,MATCH('V2 - District Heating'!$K42,Conversions!$B$4:$B$10,0),MATCH('V2 - District Heating'!$L42,Conversions!$C$3:$I$3,0)))</f>
        <v/>
      </c>
      <c r="N42" s="458" t="str">
        <f>IF(J42="","",_xlfn.XLOOKUP(H42,'Emission Factors'!$M$186:$M$190,'Emission Factors'!$T$186:$T$190)*M42)</f>
        <v/>
      </c>
      <c r="O42" s="311" t="str">
        <f t="shared" si="6"/>
        <v/>
      </c>
      <c r="P42" s="134" t="str">
        <f t="shared" si="8"/>
        <v/>
      </c>
      <c r="Q42" s="306" t="str">
        <f>IF(J42="","",_xlfn.XLOOKUP(H42,'Emission Factors'!$M:$M,'Emission Factors'!$W:$W))</f>
        <v/>
      </c>
      <c r="R42" s="165"/>
      <c r="S42" s="67"/>
      <c r="T42" s="67"/>
      <c r="U42" s="67"/>
      <c r="V42" s="67"/>
      <c r="W42" s="67"/>
      <c r="X42" s="67"/>
      <c r="Y42" s="67"/>
      <c r="Z42" s="67"/>
      <c r="AA42" s="67"/>
      <c r="AB42" s="67"/>
      <c r="AC42" s="67"/>
      <c r="AD42" s="151"/>
    </row>
    <row r="43" spans="2:30">
      <c r="B43" s="4"/>
      <c r="C43" s="12"/>
      <c r="D43" s="123"/>
      <c r="E43" s="136"/>
      <c r="F43" s="131"/>
      <c r="G43" s="132" t="s">
        <v>240</v>
      </c>
      <c r="H43" s="132" t="str">
        <f t="shared" si="7"/>
        <v>District Heating</v>
      </c>
      <c r="I43" s="137"/>
      <c r="J43" s="131"/>
      <c r="K43" s="108" t="str">
        <f t="shared" si="5"/>
        <v/>
      </c>
      <c r="L43" s="108" t="str">
        <f>IF(J43="","",_xlfn.XLOOKUP(H43,'Emission Factors'!$M$186:$M$190,'Emission Factors'!$U$186:$U$190))</f>
        <v/>
      </c>
      <c r="M43" s="109" t="str">
        <f>IF(J43="","",INDEX(Conversions!$C$4:$I$10,MATCH('V2 - District Heating'!$K43,Conversions!$B$4:$B$10,0),MATCH('V2 - District Heating'!$L43,Conversions!$C$3:$I$3,0)))</f>
        <v/>
      </c>
      <c r="N43" s="458" t="str">
        <f>IF(J43="","",_xlfn.XLOOKUP(H43,'Emission Factors'!$M$186:$M$190,'Emission Factors'!$T$186:$T$190)*M43)</f>
        <v/>
      </c>
      <c r="O43" s="311" t="str">
        <f t="shared" si="6"/>
        <v/>
      </c>
      <c r="P43" s="134" t="str">
        <f t="shared" si="8"/>
        <v/>
      </c>
      <c r="Q43" s="306" t="str">
        <f>IF(J43="","",_xlfn.XLOOKUP(H43,'Emission Factors'!$M:$M,'Emission Factors'!$W:$W))</f>
        <v/>
      </c>
      <c r="R43" s="165"/>
      <c r="S43" s="67"/>
      <c r="T43" s="67"/>
      <c r="U43" s="67"/>
      <c r="V43" s="67"/>
      <c r="W43" s="67"/>
      <c r="X43" s="67"/>
      <c r="Y43" s="67"/>
      <c r="Z43" s="67"/>
      <c r="AA43" s="67"/>
      <c r="AB43" s="67"/>
      <c r="AC43" s="67"/>
      <c r="AD43" s="151"/>
    </row>
    <row r="44" spans="2:30">
      <c r="B44" s="4"/>
      <c r="C44" s="12"/>
      <c r="D44" s="123"/>
      <c r="E44" s="136"/>
      <c r="F44" s="131"/>
      <c r="G44" s="132" t="s">
        <v>240</v>
      </c>
      <c r="H44" s="132" t="str">
        <f t="shared" si="7"/>
        <v>District Heating</v>
      </c>
      <c r="I44" s="137"/>
      <c r="J44" s="131"/>
      <c r="K44" s="108" t="str">
        <f t="shared" si="5"/>
        <v/>
      </c>
      <c r="L44" s="108" t="str">
        <f>IF(J44="","",_xlfn.XLOOKUP(H44,'Emission Factors'!$M$186:$M$190,'Emission Factors'!$U$186:$U$190))</f>
        <v/>
      </c>
      <c r="M44" s="109" t="str">
        <f>IF(J44="","",INDEX(Conversions!$C$4:$I$10,MATCH('V2 - District Heating'!$K44,Conversions!$B$4:$B$10,0),MATCH('V2 - District Heating'!$L44,Conversions!$C$3:$I$3,0)))</f>
        <v/>
      </c>
      <c r="N44" s="458" t="str">
        <f>IF(J44="","",_xlfn.XLOOKUP(H44,'Emission Factors'!$M$186:$M$190,'Emission Factors'!$T$186:$T$190)*M44)</f>
        <v/>
      </c>
      <c r="O44" s="311" t="str">
        <f t="shared" si="6"/>
        <v/>
      </c>
      <c r="P44" s="134" t="str">
        <f t="shared" si="8"/>
        <v/>
      </c>
      <c r="Q44" s="306" t="str">
        <f>IF(J44="","",_xlfn.XLOOKUP(H44,'Emission Factors'!$M:$M,'Emission Factors'!$W:$W))</f>
        <v/>
      </c>
      <c r="R44" s="165"/>
      <c r="S44" s="67"/>
      <c r="T44" s="67"/>
      <c r="U44" s="67"/>
      <c r="V44" s="67"/>
      <c r="W44" s="67"/>
      <c r="X44" s="67"/>
      <c r="Y44" s="67"/>
      <c r="Z44" s="67"/>
      <c r="AA44" s="67"/>
      <c r="AB44" s="67"/>
      <c r="AC44" s="67"/>
      <c r="AD44" s="151"/>
    </row>
    <row r="45" spans="2:30">
      <c r="B45" s="4"/>
      <c r="C45" s="12"/>
      <c r="D45" s="123"/>
      <c r="E45" s="136"/>
      <c r="F45" s="131"/>
      <c r="G45" s="132" t="s">
        <v>240</v>
      </c>
      <c r="H45" s="132" t="str">
        <f t="shared" si="7"/>
        <v>District Heating</v>
      </c>
      <c r="I45" s="137"/>
      <c r="J45" s="131"/>
      <c r="K45" s="108" t="str">
        <f t="shared" si="5"/>
        <v/>
      </c>
      <c r="L45" s="108" t="str">
        <f>IF(J45="","",_xlfn.XLOOKUP(H45,'Emission Factors'!$M$186:$M$190,'Emission Factors'!$U$186:$U$190))</f>
        <v/>
      </c>
      <c r="M45" s="109" t="str">
        <f>IF(J45="","",INDEX(Conversions!$C$4:$I$10,MATCH('V2 - District Heating'!$K45,Conversions!$B$4:$B$10,0),MATCH('V2 - District Heating'!$L45,Conversions!$C$3:$I$3,0)))</f>
        <v/>
      </c>
      <c r="N45" s="458" t="str">
        <f>IF(J45="","",_xlfn.XLOOKUP(H45,'Emission Factors'!$M$186:$M$190,'Emission Factors'!$T$186:$T$190)*M45)</f>
        <v/>
      </c>
      <c r="O45" s="311" t="str">
        <f t="shared" si="6"/>
        <v/>
      </c>
      <c r="P45" s="134" t="str">
        <f t="shared" si="8"/>
        <v/>
      </c>
      <c r="Q45" s="306" t="str">
        <f>IF(J45="","",_xlfn.XLOOKUP(H45,'Emission Factors'!$M:$M,'Emission Factors'!$W:$W))</f>
        <v/>
      </c>
      <c r="R45" s="165"/>
      <c r="S45" s="67"/>
      <c r="T45" s="67"/>
      <c r="U45" s="67"/>
      <c r="V45" s="67"/>
      <c r="W45" s="67"/>
      <c r="X45" s="67"/>
      <c r="Y45" s="67"/>
      <c r="Z45" s="67"/>
      <c r="AA45" s="67"/>
      <c r="AB45" s="67"/>
      <c r="AC45" s="67"/>
      <c r="AD45" s="151"/>
    </row>
    <row r="46" spans="2:30">
      <c r="B46" s="4"/>
      <c r="C46" s="12"/>
      <c r="D46" s="123"/>
      <c r="E46" s="136"/>
      <c r="F46" s="131"/>
      <c r="G46" s="132" t="s">
        <v>240</v>
      </c>
      <c r="H46" s="132" t="str">
        <f t="shared" si="7"/>
        <v>District Heating</v>
      </c>
      <c r="I46" s="137"/>
      <c r="J46" s="131"/>
      <c r="K46" s="108" t="str">
        <f t="shared" si="5"/>
        <v/>
      </c>
      <c r="L46" s="108" t="str">
        <f>IF(J46="","",_xlfn.XLOOKUP(H46,'Emission Factors'!$M$186:$M$190,'Emission Factors'!$U$186:$U$190))</f>
        <v/>
      </c>
      <c r="M46" s="109" t="str">
        <f>IF(J46="","",INDEX(Conversions!$C$4:$I$10,MATCH('V2 - District Heating'!$K46,Conversions!$B$4:$B$10,0),MATCH('V2 - District Heating'!$L46,Conversions!$C$3:$I$3,0)))</f>
        <v/>
      </c>
      <c r="N46" s="458" t="str">
        <f>IF(J46="","",_xlfn.XLOOKUP(H46,'Emission Factors'!$M$186:$M$190,'Emission Factors'!$T$186:$T$190)*M46)</f>
        <v/>
      </c>
      <c r="O46" s="311" t="str">
        <f t="shared" si="6"/>
        <v/>
      </c>
      <c r="P46" s="134" t="str">
        <f t="shared" si="8"/>
        <v/>
      </c>
      <c r="Q46" s="306" t="str">
        <f>IF(J46="","",_xlfn.XLOOKUP(H46,'Emission Factors'!$M:$M,'Emission Factors'!$W:$W))</f>
        <v/>
      </c>
      <c r="R46" s="165"/>
      <c r="S46" s="67"/>
      <c r="T46" s="67"/>
      <c r="U46" s="67"/>
      <c r="V46" s="67"/>
      <c r="W46" s="67"/>
      <c r="X46" s="67"/>
      <c r="Y46" s="67"/>
      <c r="Z46" s="67"/>
      <c r="AA46" s="67"/>
      <c r="AB46" s="67"/>
      <c r="AC46" s="67"/>
      <c r="AD46" s="151"/>
    </row>
    <row r="47" spans="2:30">
      <c r="B47" s="4"/>
      <c r="C47" s="12"/>
      <c r="D47" s="123"/>
      <c r="E47" s="136"/>
      <c r="F47" s="131"/>
      <c r="G47" s="132" t="s">
        <v>240</v>
      </c>
      <c r="H47" s="132" t="str">
        <f t="shared" si="7"/>
        <v>District Heating</v>
      </c>
      <c r="I47" s="137"/>
      <c r="J47" s="131"/>
      <c r="K47" s="108" t="str">
        <f t="shared" si="5"/>
        <v/>
      </c>
      <c r="L47" s="108" t="str">
        <f>IF(J47="","",_xlfn.XLOOKUP(H47,'Emission Factors'!$M$186:$M$190,'Emission Factors'!$U$186:$U$190))</f>
        <v/>
      </c>
      <c r="M47" s="109" t="str">
        <f>IF(J47="","",INDEX(Conversions!$C$4:$I$10,MATCH('V2 - District Heating'!$K47,Conversions!$B$4:$B$10,0),MATCH('V2 - District Heating'!$L47,Conversions!$C$3:$I$3,0)))</f>
        <v/>
      </c>
      <c r="N47" s="458" t="str">
        <f>IF(J47="","",_xlfn.XLOOKUP(H47,'Emission Factors'!$M$186:$M$190,'Emission Factors'!$T$186:$T$190)*M47)</f>
        <v/>
      </c>
      <c r="O47" s="311" t="str">
        <f t="shared" si="6"/>
        <v/>
      </c>
      <c r="P47" s="134" t="str">
        <f t="shared" si="8"/>
        <v/>
      </c>
      <c r="Q47" s="306" t="str">
        <f>IF(J47="","",_xlfn.XLOOKUP(H47,'Emission Factors'!$M:$M,'Emission Factors'!$W:$W))</f>
        <v/>
      </c>
      <c r="R47" s="165"/>
      <c r="S47" s="67"/>
      <c r="T47" s="67"/>
      <c r="U47" s="67"/>
      <c r="V47" s="67"/>
      <c r="W47" s="67"/>
      <c r="X47" s="67"/>
      <c r="Y47" s="67"/>
      <c r="Z47" s="67"/>
      <c r="AA47" s="67"/>
      <c r="AB47" s="67"/>
      <c r="AC47" s="67"/>
      <c r="AD47" s="151"/>
    </row>
    <row r="48" spans="2:30">
      <c r="B48" s="4"/>
      <c r="C48" s="12"/>
      <c r="D48" s="123"/>
      <c r="E48" s="136"/>
      <c r="F48" s="131"/>
      <c r="G48" s="132" t="s">
        <v>240</v>
      </c>
      <c r="H48" s="132" t="str">
        <f t="shared" si="7"/>
        <v>District Heating</v>
      </c>
      <c r="I48" s="137"/>
      <c r="J48" s="131"/>
      <c r="K48" s="108" t="str">
        <f t="shared" si="5"/>
        <v/>
      </c>
      <c r="L48" s="108" t="str">
        <f>IF(J48="","",_xlfn.XLOOKUP(H48,'Emission Factors'!$M$186:$M$190,'Emission Factors'!$U$186:$U$190))</f>
        <v/>
      </c>
      <c r="M48" s="109" t="str">
        <f>IF(J48="","",INDEX(Conversions!$C$4:$I$10,MATCH('V2 - District Heating'!$K48,Conversions!$B$4:$B$10,0),MATCH('V2 - District Heating'!$L48,Conversions!$C$3:$I$3,0)))</f>
        <v/>
      </c>
      <c r="N48" s="458" t="str">
        <f>IF(J48="","",_xlfn.XLOOKUP(H48,'Emission Factors'!$M$186:$M$190,'Emission Factors'!$T$186:$T$190)*M48)</f>
        <v/>
      </c>
      <c r="O48" s="311" t="str">
        <f t="shared" si="6"/>
        <v/>
      </c>
      <c r="P48" s="134" t="str">
        <f t="shared" si="8"/>
        <v/>
      </c>
      <c r="Q48" s="306" t="str">
        <f>IF(J48="","",_xlfn.XLOOKUP(H48,'Emission Factors'!$M:$M,'Emission Factors'!$W:$W))</f>
        <v/>
      </c>
      <c r="R48" s="165"/>
      <c r="S48" s="67"/>
      <c r="T48" s="67"/>
      <c r="U48" s="67"/>
      <c r="V48" s="67"/>
      <c r="W48" s="67"/>
      <c r="X48" s="67"/>
      <c r="Y48" s="67"/>
      <c r="Z48" s="67"/>
      <c r="AA48" s="67"/>
      <c r="AB48" s="67"/>
      <c r="AC48" s="67"/>
      <c r="AD48" s="151"/>
    </row>
    <row r="49" spans="2:30">
      <c r="B49" s="4"/>
      <c r="C49" s="12"/>
      <c r="D49" s="123"/>
      <c r="E49" s="136"/>
      <c r="F49" s="131"/>
      <c r="G49" s="132" t="s">
        <v>240</v>
      </c>
      <c r="H49" s="132" t="str">
        <f t="shared" si="7"/>
        <v>District Heating</v>
      </c>
      <c r="I49" s="137"/>
      <c r="J49" s="131"/>
      <c r="K49" s="108" t="str">
        <f t="shared" si="5"/>
        <v/>
      </c>
      <c r="L49" s="108" t="str">
        <f>IF(J49="","",_xlfn.XLOOKUP(H49,'Emission Factors'!$M$186:$M$190,'Emission Factors'!$U$186:$U$190))</f>
        <v/>
      </c>
      <c r="M49" s="109" t="str">
        <f>IF(J49="","",INDEX(Conversions!$C$4:$I$10,MATCH('V2 - District Heating'!$K49,Conversions!$B$4:$B$10,0),MATCH('V2 - District Heating'!$L49,Conversions!$C$3:$I$3,0)))</f>
        <v/>
      </c>
      <c r="N49" s="458" t="str">
        <f>IF(J49="","",_xlfn.XLOOKUP(H49,'Emission Factors'!$M$186:$M$190,'Emission Factors'!$T$186:$T$190)*M49)</f>
        <v/>
      </c>
      <c r="O49" s="311" t="str">
        <f t="shared" si="6"/>
        <v/>
      </c>
      <c r="P49" s="134" t="str">
        <f t="shared" si="8"/>
        <v/>
      </c>
      <c r="Q49" s="306" t="str">
        <f>IF(J49="","",_xlfn.XLOOKUP(H49,'Emission Factors'!$M:$M,'Emission Factors'!$W:$W))</f>
        <v/>
      </c>
      <c r="R49" s="165"/>
      <c r="S49" s="67"/>
      <c r="T49" s="67"/>
      <c r="U49" s="67"/>
      <c r="V49" s="67"/>
      <c r="W49" s="67"/>
      <c r="X49" s="67"/>
      <c r="Y49" s="67"/>
      <c r="Z49" s="67"/>
      <c r="AA49" s="67"/>
      <c r="AB49" s="67"/>
      <c r="AC49" s="67"/>
      <c r="AD49" s="151"/>
    </row>
    <row r="50" spans="2:30">
      <c r="B50" s="4"/>
      <c r="C50" s="12"/>
      <c r="D50" s="123"/>
      <c r="E50" s="136"/>
      <c r="F50" s="131"/>
      <c r="G50" s="132" t="s">
        <v>240</v>
      </c>
      <c r="H50" s="132" t="str">
        <f t="shared" si="7"/>
        <v>District Heating</v>
      </c>
      <c r="I50" s="137"/>
      <c r="J50" s="131"/>
      <c r="K50" s="108" t="str">
        <f t="shared" si="5"/>
        <v/>
      </c>
      <c r="L50" s="108" t="str">
        <f>IF(J50="","",_xlfn.XLOOKUP(H50,'Emission Factors'!$M$186:$M$190,'Emission Factors'!$U$186:$U$190))</f>
        <v/>
      </c>
      <c r="M50" s="109" t="str">
        <f>IF(J50="","",INDEX(Conversions!$C$4:$I$10,MATCH('V2 - District Heating'!$K50,Conversions!$B$4:$B$10,0),MATCH('V2 - District Heating'!$L50,Conversions!$C$3:$I$3,0)))</f>
        <v/>
      </c>
      <c r="N50" s="458" t="str">
        <f>IF(J50="","",_xlfn.XLOOKUP(H50,'Emission Factors'!$M$186:$M$190,'Emission Factors'!$T$186:$T$190)*M50)</f>
        <v/>
      </c>
      <c r="O50" s="311" t="str">
        <f t="shared" si="6"/>
        <v/>
      </c>
      <c r="P50" s="134" t="str">
        <f t="shared" si="8"/>
        <v/>
      </c>
      <c r="Q50" s="306" t="str">
        <f>IF(J50="","",_xlfn.XLOOKUP(H50,'Emission Factors'!$M:$M,'Emission Factors'!$W:$W))</f>
        <v/>
      </c>
      <c r="R50" s="165"/>
      <c r="S50" s="67"/>
      <c r="T50" s="67"/>
      <c r="U50" s="67"/>
      <c r="V50" s="67"/>
      <c r="W50" s="67"/>
      <c r="X50" s="67"/>
      <c r="Y50" s="67"/>
      <c r="Z50" s="67"/>
      <c r="AA50" s="67"/>
      <c r="AB50" s="67"/>
      <c r="AC50" s="67"/>
      <c r="AD50" s="151"/>
    </row>
    <row r="51" spans="2:30">
      <c r="B51" s="4"/>
      <c r="C51" s="12"/>
      <c r="D51" s="123"/>
      <c r="E51" s="136"/>
      <c r="F51" s="131"/>
      <c r="G51" s="132" t="s">
        <v>240</v>
      </c>
      <c r="H51" s="132" t="str">
        <f t="shared" si="7"/>
        <v>District Heating</v>
      </c>
      <c r="I51" s="137"/>
      <c r="J51" s="131"/>
      <c r="K51" s="108" t="str">
        <f t="shared" si="5"/>
        <v/>
      </c>
      <c r="L51" s="108" t="str">
        <f>IF(J51="","",_xlfn.XLOOKUP(H51,'Emission Factors'!$M$186:$M$190,'Emission Factors'!$U$186:$U$190))</f>
        <v/>
      </c>
      <c r="M51" s="109" t="str">
        <f>IF(J51="","",INDEX(Conversions!$C$4:$I$10,MATCH('V2 - District Heating'!$K51,Conversions!$B$4:$B$10,0),MATCH('V2 - District Heating'!$L51,Conversions!$C$3:$I$3,0)))</f>
        <v/>
      </c>
      <c r="N51" s="458" t="str">
        <f>IF(J51="","",_xlfn.XLOOKUP(H51,'Emission Factors'!$M$186:$M$190,'Emission Factors'!$T$186:$T$190)*M51)</f>
        <v/>
      </c>
      <c r="O51" s="311" t="str">
        <f t="shared" si="6"/>
        <v/>
      </c>
      <c r="P51" s="134" t="str">
        <f t="shared" si="8"/>
        <v/>
      </c>
      <c r="Q51" s="306" t="str">
        <f>IF(J51="","",_xlfn.XLOOKUP(H51,'Emission Factors'!$M:$M,'Emission Factors'!$W:$W))</f>
        <v/>
      </c>
      <c r="R51" s="165"/>
      <c r="S51" s="67"/>
      <c r="T51" s="67"/>
      <c r="U51" s="67"/>
      <c r="V51" s="67"/>
      <c r="W51" s="67"/>
      <c r="X51" s="67"/>
      <c r="Y51" s="67"/>
      <c r="Z51" s="67"/>
      <c r="AA51" s="67"/>
      <c r="AB51" s="67"/>
      <c r="AC51" s="67"/>
      <c r="AD51" s="151"/>
    </row>
    <row r="52" spans="2:30">
      <c r="B52" s="4"/>
      <c r="C52" s="12"/>
      <c r="D52" s="123"/>
      <c r="E52" s="136"/>
      <c r="F52" s="131"/>
      <c r="G52" s="132" t="s">
        <v>240</v>
      </c>
      <c r="H52" s="132" t="str">
        <f t="shared" si="7"/>
        <v>District Heating</v>
      </c>
      <c r="I52" s="137"/>
      <c r="J52" s="131"/>
      <c r="K52" s="108" t="str">
        <f t="shared" si="5"/>
        <v/>
      </c>
      <c r="L52" s="108" t="str">
        <f>IF(J52="","",_xlfn.XLOOKUP(H52,'Emission Factors'!$M$186:$M$190,'Emission Factors'!$U$186:$U$190))</f>
        <v/>
      </c>
      <c r="M52" s="109" t="str">
        <f>IF(J52="","",INDEX(Conversions!$C$4:$I$10,MATCH('V2 - District Heating'!$K52,Conversions!$B$4:$B$10,0),MATCH('V2 - District Heating'!$L52,Conversions!$C$3:$I$3,0)))</f>
        <v/>
      </c>
      <c r="N52" s="458" t="str">
        <f>IF(J52="","",_xlfn.XLOOKUP(H52,'Emission Factors'!$M$186:$M$190,'Emission Factors'!$T$186:$T$190)*M52)</f>
        <v/>
      </c>
      <c r="O52" s="311" t="str">
        <f t="shared" si="6"/>
        <v/>
      </c>
      <c r="P52" s="134" t="str">
        <f t="shared" si="8"/>
        <v/>
      </c>
      <c r="Q52" s="306" t="str">
        <f>IF(J52="","",_xlfn.XLOOKUP(H52,'Emission Factors'!$M:$M,'Emission Factors'!$W:$W))</f>
        <v/>
      </c>
      <c r="R52" s="165"/>
      <c r="S52" s="67"/>
      <c r="T52" s="67"/>
      <c r="U52" s="67"/>
      <c r="V52" s="67"/>
      <c r="W52" s="67"/>
      <c r="X52" s="67"/>
      <c r="Y52" s="67"/>
      <c r="Z52" s="67"/>
      <c r="AA52" s="67"/>
      <c r="AB52" s="67"/>
      <c r="AC52" s="67"/>
      <c r="AD52" s="151"/>
    </row>
    <row r="53" spans="2:30">
      <c r="B53" s="4"/>
      <c r="C53" s="12"/>
      <c r="D53" s="123"/>
      <c r="E53" s="136"/>
      <c r="F53" s="131"/>
      <c r="G53" s="132" t="s">
        <v>240</v>
      </c>
      <c r="H53" s="132" t="str">
        <f t="shared" si="7"/>
        <v>District Heating</v>
      </c>
      <c r="I53" s="137"/>
      <c r="J53" s="131"/>
      <c r="K53" s="108" t="str">
        <f t="shared" si="5"/>
        <v/>
      </c>
      <c r="L53" s="108" t="str">
        <f>IF(J53="","",_xlfn.XLOOKUP(H53,'Emission Factors'!$M$186:$M$190,'Emission Factors'!$U$186:$U$190))</f>
        <v/>
      </c>
      <c r="M53" s="109" t="str">
        <f>IF(J53="","",INDEX(Conversions!$C$4:$I$10,MATCH('V2 - District Heating'!$K53,Conversions!$B$4:$B$10,0),MATCH('V2 - District Heating'!$L53,Conversions!$C$3:$I$3,0)))</f>
        <v/>
      </c>
      <c r="N53" s="458" t="str">
        <f>IF(J53="","",_xlfn.XLOOKUP(H53,'Emission Factors'!$M$186:$M$190,'Emission Factors'!$T$186:$T$190)*M53)</f>
        <v/>
      </c>
      <c r="O53" s="311" t="str">
        <f t="shared" si="6"/>
        <v/>
      </c>
      <c r="P53" s="134" t="str">
        <f t="shared" si="8"/>
        <v/>
      </c>
      <c r="Q53" s="306" t="str">
        <f>IF(J53="","",_xlfn.XLOOKUP(H53,'Emission Factors'!$M:$M,'Emission Factors'!$W:$W))</f>
        <v/>
      </c>
      <c r="R53" s="165"/>
      <c r="S53" s="67"/>
      <c r="T53" s="67"/>
      <c r="U53" s="67"/>
      <c r="V53" s="67"/>
      <c r="W53" s="67"/>
      <c r="X53" s="67"/>
      <c r="Y53" s="67"/>
      <c r="Z53" s="67"/>
      <c r="AA53" s="67"/>
      <c r="AB53" s="67"/>
      <c r="AC53" s="67"/>
      <c r="AD53" s="151"/>
    </row>
    <row r="54" spans="2:30">
      <c r="B54" s="4"/>
      <c r="C54" s="12"/>
      <c r="D54" s="123"/>
      <c r="E54" s="136"/>
      <c r="F54" s="131"/>
      <c r="G54" s="132" t="s">
        <v>240</v>
      </c>
      <c r="H54" s="132" t="str">
        <f t="shared" si="7"/>
        <v>District Heating</v>
      </c>
      <c r="I54" s="137"/>
      <c r="J54" s="131"/>
      <c r="K54" s="108" t="str">
        <f t="shared" si="5"/>
        <v/>
      </c>
      <c r="L54" s="108" t="str">
        <f>IF(J54="","",_xlfn.XLOOKUP(H54,'Emission Factors'!$M$186:$M$190,'Emission Factors'!$U$186:$U$190))</f>
        <v/>
      </c>
      <c r="M54" s="109" t="str">
        <f>IF(J54="","",INDEX(Conversions!$C$4:$I$10,MATCH('V2 - District Heating'!$K54,Conversions!$B$4:$B$10,0),MATCH('V2 - District Heating'!$L54,Conversions!$C$3:$I$3,0)))</f>
        <v/>
      </c>
      <c r="N54" s="458" t="str">
        <f>IF(J54="","",_xlfn.XLOOKUP(H54,'Emission Factors'!$M$186:$M$190,'Emission Factors'!$T$186:$T$190)*M54)</f>
        <v/>
      </c>
      <c r="O54" s="311" t="str">
        <f t="shared" si="6"/>
        <v/>
      </c>
      <c r="P54" s="134" t="str">
        <f t="shared" si="8"/>
        <v/>
      </c>
      <c r="Q54" s="306" t="str">
        <f>IF(J54="","",_xlfn.XLOOKUP(H54,'Emission Factors'!$M:$M,'Emission Factors'!$W:$W))</f>
        <v/>
      </c>
      <c r="R54" s="165"/>
      <c r="S54" s="67"/>
      <c r="T54" s="67"/>
      <c r="U54" s="67"/>
      <c r="V54" s="67"/>
      <c r="W54" s="67"/>
      <c r="X54" s="67"/>
      <c r="Y54" s="67"/>
      <c r="Z54" s="67"/>
      <c r="AA54" s="67"/>
      <c r="AB54" s="67"/>
      <c r="AC54" s="67"/>
      <c r="AD54" s="151"/>
    </row>
    <row r="55" spans="2:30">
      <c r="B55" s="4"/>
      <c r="C55" s="12"/>
      <c r="D55" s="123"/>
      <c r="E55" s="136"/>
      <c r="F55" s="131"/>
      <c r="G55" s="132" t="s">
        <v>240</v>
      </c>
      <c r="H55" s="132" t="str">
        <f t="shared" si="7"/>
        <v>District Heating</v>
      </c>
      <c r="I55" s="137"/>
      <c r="J55" s="131"/>
      <c r="K55" s="108" t="str">
        <f t="shared" si="5"/>
        <v/>
      </c>
      <c r="L55" s="108" t="str">
        <f>IF(J55="","",_xlfn.XLOOKUP(H55,'Emission Factors'!$M$186:$M$190,'Emission Factors'!$U$186:$U$190))</f>
        <v/>
      </c>
      <c r="M55" s="109" t="str">
        <f>IF(J55="","",INDEX(Conversions!$C$4:$I$10,MATCH('V2 - District Heating'!$K55,Conversions!$B$4:$B$10,0),MATCH('V2 - District Heating'!$L55,Conversions!$C$3:$I$3,0)))</f>
        <v/>
      </c>
      <c r="N55" s="458" t="str">
        <f>IF(J55="","",_xlfn.XLOOKUP(H55,'Emission Factors'!$M$186:$M$190,'Emission Factors'!$T$186:$T$190)*M55)</f>
        <v/>
      </c>
      <c r="O55" s="311" t="str">
        <f t="shared" si="6"/>
        <v/>
      </c>
      <c r="P55" s="134" t="str">
        <f t="shared" si="8"/>
        <v/>
      </c>
      <c r="Q55" s="306" t="str">
        <f>IF(J55="","",_xlfn.XLOOKUP(H55,'Emission Factors'!$M:$M,'Emission Factors'!$W:$W))</f>
        <v/>
      </c>
      <c r="R55" s="165"/>
      <c r="S55" s="67"/>
      <c r="T55" s="67"/>
      <c r="U55" s="67"/>
      <c r="V55" s="67"/>
      <c r="W55" s="67"/>
      <c r="X55" s="67"/>
      <c r="Y55" s="67"/>
      <c r="Z55" s="67"/>
      <c r="AA55" s="67"/>
      <c r="AB55" s="67"/>
      <c r="AC55" s="67"/>
      <c r="AD55" s="151"/>
    </row>
    <row r="56" spans="2:30">
      <c r="B56" s="4"/>
      <c r="C56" s="12"/>
      <c r="D56" s="123"/>
      <c r="E56" s="136"/>
      <c r="F56" s="131"/>
      <c r="G56" s="132" t="s">
        <v>240</v>
      </c>
      <c r="H56" s="132" t="str">
        <f t="shared" si="7"/>
        <v>District Heating</v>
      </c>
      <c r="I56" s="137"/>
      <c r="J56" s="131"/>
      <c r="K56" s="108" t="str">
        <f t="shared" si="5"/>
        <v/>
      </c>
      <c r="L56" s="108" t="str">
        <f>IF(J56="","",_xlfn.XLOOKUP(H56,'Emission Factors'!$M$186:$M$190,'Emission Factors'!$U$186:$U$190))</f>
        <v/>
      </c>
      <c r="M56" s="109" t="str">
        <f>IF(J56="","",INDEX(Conversions!$C$4:$I$10,MATCH('V2 - District Heating'!$K56,Conversions!$B$4:$B$10,0),MATCH('V2 - District Heating'!$L56,Conversions!$C$3:$I$3,0)))</f>
        <v/>
      </c>
      <c r="N56" s="458" t="str">
        <f>IF(J56="","",_xlfn.XLOOKUP(H56,'Emission Factors'!$M$186:$M$190,'Emission Factors'!$T$186:$T$190)*M56)</f>
        <v/>
      </c>
      <c r="O56" s="311" t="str">
        <f t="shared" si="6"/>
        <v/>
      </c>
      <c r="P56" s="134" t="str">
        <f t="shared" si="8"/>
        <v/>
      </c>
      <c r="Q56" s="306" t="str">
        <f>IF(J56="","",_xlfn.XLOOKUP(H56,'Emission Factors'!$M:$M,'Emission Factors'!$W:$W))</f>
        <v/>
      </c>
      <c r="R56" s="165"/>
      <c r="S56" s="67"/>
      <c r="T56" s="67"/>
      <c r="U56" s="67"/>
      <c r="V56" s="67"/>
      <c r="W56" s="67"/>
      <c r="X56" s="67"/>
      <c r="Y56" s="67"/>
      <c r="Z56" s="67"/>
      <c r="AA56" s="67"/>
      <c r="AB56" s="67"/>
      <c r="AC56" s="67"/>
      <c r="AD56" s="151"/>
    </row>
    <row r="57" spans="2:30">
      <c r="B57" s="4"/>
      <c r="C57" s="12"/>
      <c r="D57" s="123"/>
      <c r="E57" s="136"/>
      <c r="F57" s="131"/>
      <c r="G57" s="132" t="s">
        <v>240</v>
      </c>
      <c r="H57" s="132" t="str">
        <f t="shared" si="7"/>
        <v>District Heating</v>
      </c>
      <c r="I57" s="137"/>
      <c r="J57" s="131"/>
      <c r="K57" s="108" t="str">
        <f t="shared" si="5"/>
        <v/>
      </c>
      <c r="L57" s="108" t="str">
        <f>IF(J57="","",_xlfn.XLOOKUP(H57,'Emission Factors'!$M$186:$M$190,'Emission Factors'!$U$186:$U$190))</f>
        <v/>
      </c>
      <c r="M57" s="109" t="str">
        <f>IF(J57="","",INDEX(Conversions!$C$4:$I$10,MATCH('V2 - District Heating'!$K57,Conversions!$B$4:$B$10,0),MATCH('V2 - District Heating'!$L57,Conversions!$C$3:$I$3,0)))</f>
        <v/>
      </c>
      <c r="N57" s="458" t="str">
        <f>IF(J57="","",_xlfn.XLOOKUP(H57,'Emission Factors'!$M$186:$M$190,'Emission Factors'!$T$186:$T$190)*M57)</f>
        <v/>
      </c>
      <c r="O57" s="311" t="str">
        <f t="shared" si="6"/>
        <v/>
      </c>
      <c r="P57" s="134" t="str">
        <f t="shared" si="8"/>
        <v/>
      </c>
      <c r="Q57" s="306" t="str">
        <f>IF(J57="","",_xlfn.XLOOKUP(H57,'Emission Factors'!$M:$M,'Emission Factors'!$W:$W))</f>
        <v/>
      </c>
      <c r="R57" s="165"/>
      <c r="S57" s="67"/>
      <c r="T57" s="67"/>
      <c r="U57" s="67"/>
      <c r="V57" s="67"/>
      <c r="W57" s="67"/>
      <c r="X57" s="67"/>
      <c r="Y57" s="67"/>
      <c r="Z57" s="67"/>
      <c r="AA57" s="67"/>
      <c r="AB57" s="67"/>
      <c r="AC57" s="67"/>
      <c r="AD57" s="151"/>
    </row>
    <row r="58" spans="2:30">
      <c r="B58" s="4"/>
      <c r="C58" s="12"/>
      <c r="D58" s="123"/>
      <c r="E58" s="136"/>
      <c r="F58" s="131"/>
      <c r="G58" s="132" t="s">
        <v>240</v>
      </c>
      <c r="H58" s="132" t="str">
        <f t="shared" si="7"/>
        <v>District Heating</v>
      </c>
      <c r="I58" s="137"/>
      <c r="J58" s="131"/>
      <c r="K58" s="108" t="str">
        <f t="shared" si="5"/>
        <v/>
      </c>
      <c r="L58" s="108" t="str">
        <f>IF(J58="","",_xlfn.XLOOKUP(H58,'Emission Factors'!$M$186:$M$190,'Emission Factors'!$U$186:$U$190))</f>
        <v/>
      </c>
      <c r="M58" s="109" t="str">
        <f>IF(J58="","",INDEX(Conversions!$C$4:$I$10,MATCH('V2 - District Heating'!$K58,Conversions!$B$4:$B$10,0),MATCH('V2 - District Heating'!$L58,Conversions!$C$3:$I$3,0)))</f>
        <v/>
      </c>
      <c r="N58" s="458" t="str">
        <f>IF(J58="","",_xlfn.XLOOKUP(H58,'Emission Factors'!$M$186:$M$190,'Emission Factors'!$T$186:$T$190)*M58)</f>
        <v/>
      </c>
      <c r="O58" s="311" t="str">
        <f t="shared" si="6"/>
        <v/>
      </c>
      <c r="P58" s="134" t="str">
        <f t="shared" si="8"/>
        <v/>
      </c>
      <c r="Q58" s="306" t="str">
        <f>IF(J58="","",_xlfn.XLOOKUP(H58,'Emission Factors'!$M:$M,'Emission Factors'!$W:$W))</f>
        <v/>
      </c>
      <c r="R58" s="165"/>
      <c r="S58" s="67"/>
      <c r="T58" s="67"/>
      <c r="U58" s="67"/>
      <c r="V58" s="67"/>
      <c r="W58" s="67"/>
      <c r="X58" s="67"/>
      <c r="Y58" s="67"/>
      <c r="Z58" s="67"/>
      <c r="AA58" s="67"/>
      <c r="AB58" s="67"/>
      <c r="AC58" s="67"/>
      <c r="AD58" s="151"/>
    </row>
    <row r="59" spans="2:30">
      <c r="B59" s="4"/>
      <c r="C59" s="12"/>
      <c r="D59" s="123"/>
      <c r="E59" s="136"/>
      <c r="F59" s="131"/>
      <c r="G59" s="132" t="s">
        <v>240</v>
      </c>
      <c r="H59" s="132" t="str">
        <f t="shared" si="7"/>
        <v>District Heating</v>
      </c>
      <c r="I59" s="137"/>
      <c r="J59" s="131"/>
      <c r="K59" s="108" t="str">
        <f t="shared" si="5"/>
        <v/>
      </c>
      <c r="L59" s="108" t="str">
        <f>IF(J59="","",_xlfn.XLOOKUP(H59,'Emission Factors'!$M$186:$M$190,'Emission Factors'!$U$186:$U$190))</f>
        <v/>
      </c>
      <c r="M59" s="109" t="str">
        <f>IF(J59="","",INDEX(Conversions!$C$4:$I$10,MATCH('V2 - District Heating'!$K59,Conversions!$B$4:$B$10,0),MATCH('V2 - District Heating'!$L59,Conversions!$C$3:$I$3,0)))</f>
        <v/>
      </c>
      <c r="N59" s="458" t="str">
        <f>IF(J59="","",_xlfn.XLOOKUP(H59,'Emission Factors'!$M$186:$M$190,'Emission Factors'!$T$186:$T$190)*M59)</f>
        <v/>
      </c>
      <c r="O59" s="311" t="str">
        <f t="shared" si="6"/>
        <v/>
      </c>
      <c r="P59" s="134" t="str">
        <f t="shared" si="8"/>
        <v/>
      </c>
      <c r="Q59" s="306" t="str">
        <f>IF(J59="","",_xlfn.XLOOKUP(H59,'Emission Factors'!$M:$M,'Emission Factors'!$W:$W))</f>
        <v/>
      </c>
      <c r="R59" s="165"/>
      <c r="S59" s="67"/>
      <c r="T59" s="67"/>
      <c r="U59" s="67"/>
      <c r="V59" s="67"/>
      <c r="W59" s="67"/>
      <c r="X59" s="67"/>
      <c r="Y59" s="67"/>
      <c r="Z59" s="67"/>
      <c r="AA59" s="67"/>
      <c r="AB59" s="67"/>
      <c r="AC59" s="67"/>
      <c r="AD59" s="151"/>
    </row>
    <row r="60" spans="2:30">
      <c r="B60" s="4"/>
      <c r="C60" s="12"/>
      <c r="D60" s="123"/>
      <c r="E60" s="136"/>
      <c r="F60" s="131"/>
      <c r="G60" s="132" t="s">
        <v>240</v>
      </c>
      <c r="H60" s="132" t="str">
        <f t="shared" si="7"/>
        <v>District Heating</v>
      </c>
      <c r="I60" s="137"/>
      <c r="J60" s="131"/>
      <c r="K60" s="108" t="str">
        <f t="shared" si="5"/>
        <v/>
      </c>
      <c r="L60" s="108" t="str">
        <f>IF(J60="","",_xlfn.XLOOKUP(H60,'Emission Factors'!$M$186:$M$190,'Emission Factors'!$U$186:$U$190))</f>
        <v/>
      </c>
      <c r="M60" s="109" t="str">
        <f>IF(J60="","",INDEX(Conversions!$C$4:$I$10,MATCH('V2 - District Heating'!$K60,Conversions!$B$4:$B$10,0),MATCH('V2 - District Heating'!$L60,Conversions!$C$3:$I$3,0)))</f>
        <v/>
      </c>
      <c r="N60" s="458" t="str">
        <f>IF(J60="","",_xlfn.XLOOKUP(H60,'Emission Factors'!$M$186:$M$190,'Emission Factors'!$T$186:$T$190)*M60)</f>
        <v/>
      </c>
      <c r="O60" s="311" t="str">
        <f t="shared" si="6"/>
        <v/>
      </c>
      <c r="P60" s="134" t="str">
        <f t="shared" si="8"/>
        <v/>
      </c>
      <c r="Q60" s="306" t="str">
        <f>IF(J60="","",_xlfn.XLOOKUP(H60,'Emission Factors'!$M:$M,'Emission Factors'!$W:$W))</f>
        <v/>
      </c>
      <c r="R60" s="165"/>
      <c r="S60" s="67"/>
      <c r="T60" s="67"/>
      <c r="U60" s="67"/>
      <c r="V60" s="67"/>
      <c r="W60" s="67"/>
      <c r="X60" s="67"/>
      <c r="Y60" s="67"/>
      <c r="Z60" s="67"/>
      <c r="AA60" s="67"/>
      <c r="AB60" s="67"/>
      <c r="AC60" s="67"/>
      <c r="AD60" s="151"/>
    </row>
    <row r="61" spans="2:30">
      <c r="B61" s="4"/>
      <c r="C61" s="12"/>
      <c r="D61" s="123"/>
      <c r="E61" s="136"/>
      <c r="F61" s="131"/>
      <c r="G61" s="132" t="s">
        <v>240</v>
      </c>
      <c r="H61" s="132" t="str">
        <f t="shared" si="7"/>
        <v>District Heating</v>
      </c>
      <c r="I61" s="137"/>
      <c r="J61" s="131"/>
      <c r="K61" s="108" t="str">
        <f t="shared" si="5"/>
        <v/>
      </c>
      <c r="L61" s="108" t="str">
        <f>IF(J61="","",_xlfn.XLOOKUP(H61,'Emission Factors'!$M$186:$M$190,'Emission Factors'!$U$186:$U$190))</f>
        <v/>
      </c>
      <c r="M61" s="109" t="str">
        <f>IF(J61="","",INDEX(Conversions!$C$4:$I$10,MATCH('V2 - District Heating'!$K61,Conversions!$B$4:$B$10,0),MATCH('V2 - District Heating'!$L61,Conversions!$C$3:$I$3,0)))</f>
        <v/>
      </c>
      <c r="N61" s="458" t="str">
        <f>IF(J61="","",_xlfn.XLOOKUP(H61,'Emission Factors'!$M$186:$M$190,'Emission Factors'!$T$186:$T$190)*M61)</f>
        <v/>
      </c>
      <c r="O61" s="311" t="str">
        <f t="shared" si="6"/>
        <v/>
      </c>
      <c r="P61" s="134" t="str">
        <f t="shared" si="8"/>
        <v/>
      </c>
      <c r="Q61" s="306" t="str">
        <f>IF(J61="","",_xlfn.XLOOKUP(H61,'Emission Factors'!$M:$M,'Emission Factors'!$W:$W))</f>
        <v/>
      </c>
      <c r="R61" s="165"/>
      <c r="S61" s="67"/>
      <c r="T61" s="67"/>
      <c r="U61" s="67"/>
      <c r="V61" s="67"/>
      <c r="W61" s="67"/>
      <c r="X61" s="67"/>
      <c r="Y61" s="67"/>
      <c r="Z61" s="67"/>
      <c r="AA61" s="67"/>
      <c r="AB61" s="67"/>
      <c r="AC61" s="67"/>
      <c r="AD61" s="151"/>
    </row>
    <row r="62" spans="2:30">
      <c r="B62" s="4"/>
      <c r="C62" s="12"/>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151"/>
    </row>
    <row r="63" spans="2:30" ht="15.75">
      <c r="B63" s="4"/>
      <c r="C63" s="12"/>
      <c r="D63" s="312" t="str">
        <f>'V2 - Purchased Electricity'!D62</f>
        <v>Samanlagt</v>
      </c>
      <c r="E63" s="82"/>
      <c r="F63" s="82"/>
      <c r="G63" s="82"/>
      <c r="H63" s="82"/>
      <c r="I63" s="82"/>
      <c r="J63" s="82"/>
      <c r="K63" s="82"/>
      <c r="L63" s="82"/>
      <c r="M63" s="82"/>
      <c r="N63" s="82"/>
      <c r="O63" s="82"/>
      <c r="P63" s="140">
        <f>SUM($P$31:$P$61)</f>
        <v>0</v>
      </c>
      <c r="Q63" s="82"/>
      <c r="R63" s="82"/>
      <c r="S63" s="67"/>
      <c r="T63" s="67"/>
      <c r="U63" s="67"/>
      <c r="V63" s="67"/>
      <c r="W63" s="67"/>
      <c r="X63" s="67"/>
      <c r="Y63" s="67"/>
      <c r="Z63" s="67"/>
      <c r="AA63" s="67"/>
      <c r="AB63" s="67"/>
      <c r="AC63" s="67"/>
      <c r="AD63" s="151"/>
    </row>
    <row r="64" spans="2:30">
      <c r="B64" s="4"/>
      <c r="C64" s="12"/>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1"/>
    </row>
    <row r="65" spans="2:30">
      <c r="B65" s="4"/>
      <c r="C65" s="12"/>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51"/>
    </row>
    <row r="66" spans="2:30" hidden="1">
      <c r="B66" s="4"/>
      <c r="C66" s="12"/>
      <c r="D66" s="2"/>
      <c r="E66" s="2"/>
      <c r="F66" s="2"/>
      <c r="G66" s="2"/>
      <c r="H66" s="2"/>
      <c r="I66" s="2"/>
      <c r="J66" s="2"/>
      <c r="K66" s="2"/>
      <c r="L66" s="2"/>
      <c r="M66" s="2"/>
      <c r="N66" s="2"/>
      <c r="O66" s="2"/>
      <c r="P66" s="2"/>
      <c r="Q66" s="2"/>
      <c r="R66" s="2"/>
      <c r="S66" s="2"/>
      <c r="T66" s="2"/>
      <c r="U66" s="2"/>
      <c r="V66" s="2"/>
      <c r="W66" s="2"/>
      <c r="X66" s="2"/>
      <c r="Y66" s="2"/>
      <c r="Z66" s="2"/>
      <c r="AA66" s="2"/>
      <c r="AB66" s="2"/>
      <c r="AC66" s="2"/>
      <c r="AD66" s="38"/>
    </row>
    <row r="67" spans="2:30" hidden="1">
      <c r="B67" s="4"/>
      <c r="C67" s="12"/>
      <c r="D67" s="2"/>
      <c r="E67" s="2"/>
      <c r="F67" s="2"/>
      <c r="G67" s="2"/>
      <c r="H67" s="2"/>
      <c r="I67" s="2"/>
      <c r="J67" s="2"/>
      <c r="K67" s="2"/>
      <c r="L67" s="2"/>
      <c r="M67" s="2"/>
      <c r="N67" s="2"/>
      <c r="O67" s="2"/>
      <c r="P67" s="2"/>
      <c r="Q67" s="2"/>
      <c r="R67" s="2"/>
      <c r="S67" s="2"/>
      <c r="T67" s="2"/>
      <c r="U67" s="2"/>
      <c r="V67" s="2"/>
      <c r="W67" s="2"/>
      <c r="X67" s="2"/>
      <c r="Y67" s="2"/>
      <c r="Z67" s="2"/>
      <c r="AA67" s="2"/>
      <c r="AB67" s="2"/>
      <c r="AC67" s="2"/>
      <c r="AD67" s="38"/>
    </row>
    <row r="68" spans="2:30" hidden="1">
      <c r="B68" s="4"/>
      <c r="C68" s="12"/>
      <c r="D68" s="2"/>
      <c r="E68" s="2"/>
      <c r="F68" s="2"/>
      <c r="G68" s="2"/>
      <c r="H68" s="2"/>
      <c r="I68" s="2"/>
      <c r="J68" s="2"/>
      <c r="K68" s="2"/>
      <c r="L68" s="2"/>
      <c r="M68" s="2"/>
      <c r="N68" s="2"/>
      <c r="O68" s="2"/>
      <c r="P68" s="2"/>
      <c r="Q68" s="2"/>
      <c r="R68" s="2"/>
      <c r="S68" s="2"/>
      <c r="T68" s="2"/>
      <c r="U68" s="2"/>
      <c r="V68" s="2"/>
      <c r="W68" s="2"/>
      <c r="X68" s="2"/>
      <c r="Y68" s="2"/>
      <c r="Z68" s="2"/>
      <c r="AA68" s="2"/>
      <c r="AB68" s="2"/>
      <c r="AC68" s="2"/>
      <c r="AD68" s="38"/>
    </row>
    <row r="69" spans="2:30" hidden="1">
      <c r="B69" s="4"/>
      <c r="C69" s="12"/>
      <c r="D69" s="2"/>
      <c r="E69" s="2"/>
      <c r="F69" s="2"/>
      <c r="G69" s="2"/>
      <c r="H69" s="2"/>
      <c r="I69" s="2"/>
      <c r="J69" s="2"/>
      <c r="K69" s="2"/>
      <c r="L69" s="2"/>
      <c r="M69" s="2"/>
      <c r="N69" s="2"/>
      <c r="O69" s="2"/>
      <c r="P69" s="2"/>
      <c r="Q69" s="2"/>
      <c r="R69" s="2"/>
      <c r="S69" s="2"/>
      <c r="T69" s="2"/>
      <c r="U69" s="2"/>
      <c r="V69" s="2"/>
      <c r="W69" s="2"/>
      <c r="X69" s="2"/>
      <c r="Y69" s="2"/>
      <c r="Z69" s="2"/>
      <c r="AA69" s="2"/>
      <c r="AB69" s="2"/>
      <c r="AC69" s="2"/>
      <c r="AD69" s="38"/>
    </row>
    <row r="70" spans="2:30" hidden="1">
      <c r="B70" s="4"/>
      <c r="C70" s="12"/>
      <c r="D70" s="2"/>
      <c r="E70" s="2"/>
      <c r="F70" s="2"/>
      <c r="G70" s="2"/>
      <c r="H70" s="2"/>
      <c r="I70" s="2"/>
      <c r="J70" s="2"/>
      <c r="K70" s="2"/>
      <c r="L70" s="2"/>
      <c r="M70" s="2"/>
      <c r="N70" s="2"/>
      <c r="O70" s="2"/>
      <c r="P70" s="2"/>
      <c r="Q70" s="2"/>
      <c r="R70" s="2"/>
      <c r="S70" s="2"/>
      <c r="T70" s="2"/>
      <c r="U70" s="2"/>
      <c r="V70" s="2"/>
      <c r="W70" s="2"/>
      <c r="X70" s="2"/>
      <c r="Y70" s="2"/>
      <c r="Z70" s="2"/>
      <c r="AA70" s="2"/>
      <c r="AB70" s="2"/>
      <c r="AC70" s="2"/>
      <c r="AD70" s="38"/>
    </row>
    <row r="71" spans="2:30" hidden="1">
      <c r="B71" s="4"/>
      <c r="C71" s="12"/>
      <c r="D71" s="2"/>
      <c r="E71" s="2"/>
      <c r="F71" s="2"/>
      <c r="G71" s="2"/>
      <c r="H71" s="2"/>
      <c r="I71" s="2"/>
      <c r="J71" s="2"/>
      <c r="K71" s="2"/>
      <c r="L71" s="2"/>
      <c r="M71" s="2"/>
      <c r="N71" s="2"/>
      <c r="O71" s="2"/>
      <c r="P71" s="2"/>
      <c r="Q71" s="2"/>
      <c r="R71" s="2"/>
      <c r="S71" s="2"/>
      <c r="T71" s="2"/>
      <c r="U71" s="2"/>
      <c r="V71" s="2"/>
      <c r="W71" s="2"/>
      <c r="X71" s="2"/>
      <c r="Y71" s="2"/>
      <c r="Z71" s="2"/>
      <c r="AA71" s="2"/>
      <c r="AB71" s="2"/>
      <c r="AC71" s="2"/>
      <c r="AD71" s="38"/>
    </row>
    <row r="72" spans="2:30" hidden="1">
      <c r="B72" s="4"/>
      <c r="C72" s="12"/>
      <c r="D72" s="2"/>
      <c r="E72" s="2"/>
      <c r="F72" s="2"/>
      <c r="G72" s="2"/>
      <c r="H72" s="2"/>
      <c r="I72" s="2"/>
      <c r="J72" s="2"/>
      <c r="K72" s="2"/>
      <c r="L72" s="2"/>
      <c r="M72" s="2"/>
      <c r="N72" s="2"/>
      <c r="O72" s="2"/>
      <c r="P72" s="2"/>
      <c r="Q72" s="2"/>
      <c r="R72" s="2"/>
      <c r="S72" s="2"/>
      <c r="T72" s="2"/>
      <c r="U72" s="2"/>
      <c r="V72" s="2"/>
      <c r="W72" s="2"/>
      <c r="X72" s="2"/>
      <c r="Y72" s="2"/>
      <c r="Z72" s="2"/>
      <c r="AA72" s="2"/>
      <c r="AB72" s="2"/>
      <c r="AC72" s="2"/>
      <c r="AD72" s="38"/>
    </row>
    <row r="73" spans="2:30" hidden="1">
      <c r="B73" s="4"/>
      <c r="C73" s="12"/>
      <c r="D73" s="2"/>
      <c r="E73" s="2"/>
      <c r="F73" s="2"/>
      <c r="G73" s="2"/>
      <c r="H73" s="2"/>
      <c r="I73" s="2"/>
      <c r="J73" s="2"/>
      <c r="K73" s="2"/>
      <c r="L73" s="2"/>
      <c r="M73" s="2"/>
      <c r="N73" s="2"/>
      <c r="O73" s="2"/>
      <c r="P73" s="2"/>
      <c r="Q73" s="2"/>
      <c r="R73" s="2"/>
      <c r="S73" s="2"/>
      <c r="T73" s="2"/>
      <c r="U73" s="2"/>
      <c r="V73" s="2"/>
      <c r="W73" s="2"/>
      <c r="X73" s="2"/>
      <c r="Y73" s="2"/>
      <c r="Z73" s="2"/>
      <c r="AA73" s="2"/>
      <c r="AB73" s="2"/>
      <c r="AC73" s="2"/>
      <c r="AD73" s="38"/>
    </row>
    <row r="74" spans="2:30" hidden="1">
      <c r="B74" s="4"/>
      <c r="C74" s="12"/>
      <c r="D74" s="2"/>
      <c r="E74" s="2"/>
      <c r="F74" s="2"/>
      <c r="G74" s="2"/>
      <c r="H74" s="2"/>
      <c r="I74" s="2"/>
      <c r="J74" s="2"/>
      <c r="K74" s="2"/>
      <c r="L74" s="2"/>
      <c r="M74" s="2"/>
      <c r="N74" s="2"/>
      <c r="O74" s="2"/>
      <c r="P74" s="2"/>
      <c r="Q74" s="2"/>
      <c r="R74" s="2"/>
      <c r="S74" s="2"/>
      <c r="T74" s="2"/>
      <c r="U74" s="2"/>
      <c r="V74" s="2"/>
      <c r="W74" s="2"/>
      <c r="X74" s="2"/>
      <c r="Y74" s="2"/>
      <c r="Z74" s="2"/>
      <c r="AA74" s="2"/>
      <c r="AB74" s="2"/>
      <c r="AC74" s="2"/>
      <c r="AD74" s="38"/>
    </row>
    <row r="75" spans="2:30" hidden="1">
      <c r="B75" s="4"/>
      <c r="C75" s="12"/>
      <c r="D75" s="2"/>
      <c r="E75" s="2"/>
      <c r="F75" s="2"/>
      <c r="G75" s="2"/>
      <c r="H75" s="2"/>
      <c r="I75" s="2"/>
      <c r="J75" s="2"/>
      <c r="K75" s="2"/>
      <c r="L75" s="2"/>
      <c r="M75" s="2"/>
      <c r="N75" s="2"/>
      <c r="O75" s="2"/>
      <c r="P75" s="2"/>
      <c r="Q75" s="2"/>
      <c r="R75" s="2"/>
      <c r="S75" s="2"/>
      <c r="T75" s="2"/>
      <c r="U75" s="2"/>
      <c r="V75" s="2"/>
      <c r="W75" s="2"/>
      <c r="X75" s="2"/>
      <c r="Y75" s="2"/>
      <c r="Z75" s="2"/>
      <c r="AA75" s="2"/>
      <c r="AB75" s="2"/>
      <c r="AC75" s="2"/>
      <c r="AD75" s="38"/>
    </row>
    <row r="76" spans="2:30" hidden="1">
      <c r="B76" s="4"/>
      <c r="C76" s="12"/>
      <c r="D76" s="2"/>
      <c r="E76" s="2"/>
      <c r="F76" s="2"/>
      <c r="G76" s="2"/>
      <c r="H76" s="2"/>
      <c r="I76" s="2"/>
      <c r="J76" s="2"/>
      <c r="K76" s="2"/>
      <c r="L76" s="2"/>
      <c r="M76" s="2"/>
      <c r="N76" s="2"/>
      <c r="O76" s="2"/>
      <c r="P76" s="2"/>
      <c r="Q76" s="2"/>
      <c r="R76" s="2"/>
      <c r="S76" s="2"/>
      <c r="T76" s="2"/>
      <c r="U76" s="2"/>
      <c r="V76" s="2"/>
      <c r="W76" s="2"/>
      <c r="X76" s="2"/>
      <c r="Y76" s="2"/>
      <c r="Z76" s="2"/>
      <c r="AA76" s="2"/>
      <c r="AB76" s="2"/>
      <c r="AC76" s="2"/>
      <c r="AD76" s="38"/>
    </row>
    <row r="77" spans="2:30" hidden="1">
      <c r="B77" s="4"/>
      <c r="C77" s="12"/>
      <c r="D77" s="2"/>
      <c r="E77" s="2"/>
      <c r="F77" s="2"/>
      <c r="G77" s="2"/>
      <c r="H77" s="2"/>
      <c r="I77" s="2"/>
      <c r="J77" s="2"/>
      <c r="K77" s="2"/>
      <c r="L77" s="2"/>
      <c r="M77" s="2"/>
      <c r="N77" s="2"/>
      <c r="O77" s="2"/>
      <c r="P77" s="2"/>
      <c r="Q77" s="2"/>
      <c r="R77" s="2"/>
      <c r="S77" s="2"/>
      <c r="T77" s="2"/>
      <c r="U77" s="2"/>
      <c r="V77" s="2"/>
      <c r="W77" s="2"/>
      <c r="X77" s="2"/>
      <c r="Y77" s="2"/>
      <c r="Z77" s="2"/>
      <c r="AA77" s="2"/>
      <c r="AB77" s="2"/>
      <c r="AC77" s="2"/>
      <c r="AD77" s="38"/>
    </row>
    <row r="78" spans="2:30" hidden="1">
      <c r="B78" s="4"/>
      <c r="C78" s="12"/>
      <c r="D78" s="2"/>
      <c r="E78" s="2"/>
      <c r="F78" s="2"/>
      <c r="G78" s="2"/>
      <c r="H78" s="2"/>
      <c r="I78" s="2"/>
      <c r="J78" s="2"/>
      <c r="K78" s="2"/>
      <c r="L78" s="2"/>
      <c r="M78" s="2"/>
      <c r="N78" s="2"/>
      <c r="O78" s="2"/>
      <c r="P78" s="2"/>
      <c r="Q78" s="2"/>
      <c r="R78" s="2"/>
      <c r="S78" s="2"/>
      <c r="T78" s="2"/>
      <c r="U78" s="2"/>
      <c r="V78" s="2"/>
      <c r="W78" s="2"/>
      <c r="X78" s="2"/>
      <c r="Y78" s="2"/>
      <c r="Z78" s="2"/>
      <c r="AA78" s="2"/>
      <c r="AB78" s="2"/>
      <c r="AC78" s="2"/>
      <c r="AD78" s="38"/>
    </row>
    <row r="79" spans="2:30" hidden="1">
      <c r="B79" s="4"/>
      <c r="C79" s="12"/>
      <c r="D79" s="2"/>
      <c r="E79" s="2"/>
      <c r="F79" s="2"/>
      <c r="G79" s="2"/>
      <c r="H79" s="2"/>
      <c r="I79" s="2"/>
      <c r="J79" s="2"/>
      <c r="K79" s="2"/>
      <c r="L79" s="2"/>
      <c r="M79" s="2"/>
      <c r="N79" s="2"/>
      <c r="O79" s="2"/>
      <c r="P79" s="2"/>
      <c r="Q79" s="2"/>
      <c r="R79" s="2"/>
      <c r="S79" s="2"/>
      <c r="T79" s="2"/>
      <c r="U79" s="2"/>
      <c r="V79" s="2"/>
      <c r="W79" s="2"/>
      <c r="X79" s="2"/>
      <c r="Y79" s="2"/>
      <c r="Z79" s="2"/>
      <c r="AA79" s="2"/>
      <c r="AB79" s="2"/>
      <c r="AC79" s="2"/>
      <c r="AD79" s="38"/>
    </row>
    <row r="80" spans="2:30" hidden="1">
      <c r="B80" s="4"/>
      <c r="C80" s="12"/>
      <c r="D80" s="2"/>
      <c r="E80" s="2"/>
      <c r="F80" s="2"/>
      <c r="G80" s="2"/>
      <c r="H80" s="2"/>
      <c r="I80" s="2"/>
      <c r="J80" s="2"/>
      <c r="K80" s="2"/>
      <c r="L80" s="2"/>
      <c r="M80" s="2"/>
      <c r="N80" s="2"/>
      <c r="O80" s="2"/>
      <c r="P80" s="2"/>
      <c r="Q80" s="2"/>
      <c r="R80" s="2"/>
      <c r="S80" s="2"/>
      <c r="T80" s="2"/>
      <c r="U80" s="2"/>
      <c r="V80" s="2"/>
      <c r="W80" s="2"/>
      <c r="X80" s="2"/>
      <c r="Y80" s="2"/>
      <c r="Z80" s="2"/>
      <c r="AA80" s="2"/>
      <c r="AB80" s="2"/>
      <c r="AC80" s="2"/>
      <c r="AD80" s="38"/>
    </row>
    <row r="81" spans="2:30" hidden="1">
      <c r="B81" s="4"/>
      <c r="C81" s="12"/>
      <c r="D81" s="2"/>
      <c r="E81" s="2"/>
      <c r="F81" s="2"/>
      <c r="G81" s="2"/>
      <c r="H81" s="2"/>
      <c r="I81" s="2"/>
      <c r="J81" s="2"/>
      <c r="K81" s="2"/>
      <c r="L81" s="2"/>
      <c r="M81" s="2"/>
      <c r="N81" s="2"/>
      <c r="O81" s="2"/>
      <c r="P81" s="2"/>
      <c r="Q81" s="2"/>
      <c r="R81" s="2"/>
      <c r="S81" s="2"/>
      <c r="T81" s="2"/>
      <c r="U81" s="2"/>
      <c r="V81" s="2"/>
      <c r="W81" s="2"/>
      <c r="X81" s="2"/>
      <c r="Y81" s="2"/>
      <c r="Z81" s="2"/>
      <c r="AA81" s="2"/>
      <c r="AB81" s="2"/>
      <c r="AC81" s="2"/>
      <c r="AD81" s="38"/>
    </row>
    <row r="82" spans="2:30" hidden="1">
      <c r="B82" s="4"/>
      <c r="C82" s="12"/>
      <c r="D82" s="2"/>
      <c r="E82" s="2"/>
      <c r="F82" s="2"/>
      <c r="G82" s="2"/>
      <c r="H82" s="2"/>
      <c r="I82" s="2"/>
      <c r="J82" s="2"/>
      <c r="K82" s="2"/>
      <c r="L82" s="2"/>
      <c r="M82" s="2"/>
      <c r="N82" s="2"/>
      <c r="O82" s="2"/>
      <c r="P82" s="2"/>
      <c r="Q82" s="2"/>
      <c r="R82" s="2"/>
      <c r="S82" s="2"/>
      <c r="T82" s="2"/>
      <c r="U82" s="2"/>
      <c r="V82" s="2"/>
      <c r="W82" s="2"/>
      <c r="X82" s="2"/>
      <c r="Y82" s="2"/>
      <c r="Z82" s="2"/>
      <c r="AA82" s="2"/>
      <c r="AB82" s="2"/>
      <c r="AC82" s="2"/>
      <c r="AD82" s="38"/>
    </row>
    <row r="83" spans="2:30" hidden="1">
      <c r="B83" s="4"/>
      <c r="C83" s="12"/>
      <c r="D83" s="2"/>
      <c r="E83" s="2"/>
      <c r="F83" s="2"/>
      <c r="G83" s="2"/>
      <c r="H83" s="2"/>
      <c r="I83" s="2"/>
      <c r="J83" s="2"/>
      <c r="K83" s="2"/>
      <c r="L83" s="2"/>
      <c r="M83" s="2"/>
      <c r="N83" s="2"/>
      <c r="O83" s="2"/>
      <c r="P83" s="2"/>
      <c r="Q83" s="2"/>
      <c r="R83" s="2"/>
      <c r="S83" s="2"/>
      <c r="T83" s="2"/>
      <c r="U83" s="2"/>
      <c r="V83" s="2"/>
      <c r="W83" s="2"/>
      <c r="X83" s="2"/>
      <c r="Y83" s="2"/>
      <c r="Z83" s="2"/>
      <c r="AA83" s="2"/>
      <c r="AB83" s="2"/>
      <c r="AC83" s="2"/>
      <c r="AD83" s="38"/>
    </row>
    <row r="84" spans="2:30" hidden="1">
      <c r="B84" s="4"/>
      <c r="C84" s="12"/>
      <c r="D84" s="2"/>
      <c r="E84" s="2"/>
      <c r="F84" s="2"/>
      <c r="G84" s="2"/>
      <c r="H84" s="2"/>
      <c r="I84" s="2"/>
      <c r="J84" s="2"/>
      <c r="K84" s="2"/>
      <c r="L84" s="2"/>
      <c r="M84" s="2"/>
      <c r="N84" s="2"/>
      <c r="O84" s="2"/>
      <c r="P84" s="2"/>
      <c r="Q84" s="2"/>
      <c r="R84" s="2"/>
      <c r="S84" s="2"/>
      <c r="T84" s="2"/>
      <c r="U84" s="2"/>
      <c r="V84" s="2"/>
      <c r="W84" s="2"/>
      <c r="X84" s="2"/>
      <c r="Y84" s="2"/>
      <c r="Z84" s="2"/>
      <c r="AA84" s="2"/>
      <c r="AB84" s="2"/>
      <c r="AC84" s="2"/>
      <c r="AD84" s="38"/>
    </row>
    <row r="85" spans="2:30" hidden="1">
      <c r="B85" s="4"/>
      <c r="C85" s="12"/>
      <c r="D85" s="2"/>
      <c r="E85" s="2"/>
      <c r="F85" s="2"/>
      <c r="G85" s="2"/>
      <c r="H85" s="2"/>
      <c r="I85" s="2"/>
      <c r="J85" s="2"/>
      <c r="K85" s="2"/>
      <c r="L85" s="2"/>
      <c r="M85" s="2"/>
      <c r="N85" s="2"/>
      <c r="O85" s="2"/>
      <c r="P85" s="2"/>
      <c r="Q85" s="2"/>
      <c r="R85" s="2"/>
      <c r="S85" s="2"/>
      <c r="T85" s="2"/>
      <c r="U85" s="2"/>
      <c r="V85" s="2"/>
      <c r="W85" s="2"/>
      <c r="X85" s="2"/>
      <c r="Y85" s="2"/>
      <c r="Z85" s="2"/>
      <c r="AA85" s="2"/>
      <c r="AB85" s="2"/>
      <c r="AC85" s="2"/>
      <c r="AD85" s="38"/>
    </row>
    <row r="86" spans="2:30" hidden="1">
      <c r="B86" s="4"/>
      <c r="C86" s="12"/>
      <c r="D86" s="2"/>
      <c r="E86" s="2"/>
      <c r="F86" s="2"/>
      <c r="G86" s="2"/>
      <c r="H86" s="2"/>
      <c r="I86" s="2"/>
      <c r="J86" s="2"/>
      <c r="K86" s="2"/>
      <c r="L86" s="2"/>
      <c r="M86" s="2"/>
      <c r="N86" s="2"/>
      <c r="O86" s="2"/>
      <c r="P86" s="2"/>
      <c r="Q86" s="2"/>
      <c r="R86" s="2"/>
      <c r="S86" s="2"/>
      <c r="T86" s="2"/>
      <c r="U86" s="2"/>
      <c r="V86" s="2"/>
      <c r="W86" s="2"/>
      <c r="X86" s="2"/>
      <c r="Y86" s="2"/>
      <c r="Z86" s="2"/>
      <c r="AA86" s="2"/>
      <c r="AB86" s="2"/>
      <c r="AC86" s="2"/>
      <c r="AD86" s="38"/>
    </row>
    <row r="87" spans="2:30" hidden="1">
      <c r="B87" s="4"/>
      <c r="C87" s="12"/>
      <c r="D87" s="2"/>
      <c r="E87" s="2"/>
      <c r="F87" s="2"/>
      <c r="G87" s="2"/>
      <c r="H87" s="2"/>
      <c r="I87" s="2"/>
      <c r="J87" s="2"/>
      <c r="K87" s="2"/>
      <c r="L87" s="2"/>
      <c r="M87" s="2"/>
      <c r="N87" s="2"/>
      <c r="O87" s="2"/>
      <c r="P87" s="2"/>
      <c r="Q87" s="2"/>
      <c r="R87" s="2"/>
      <c r="S87" s="2"/>
      <c r="T87" s="2"/>
      <c r="U87" s="2"/>
      <c r="V87" s="2"/>
      <c r="W87" s="2"/>
      <c r="X87" s="2"/>
      <c r="Y87" s="2"/>
      <c r="Z87" s="2"/>
      <c r="AA87" s="2"/>
      <c r="AB87" s="2"/>
      <c r="AC87" s="2"/>
      <c r="AD87" s="38"/>
    </row>
    <row r="88" spans="2:30" hidden="1">
      <c r="B88" s="4"/>
      <c r="C88" s="12"/>
      <c r="D88" s="2"/>
      <c r="E88" s="2"/>
      <c r="F88" s="2"/>
      <c r="G88" s="2"/>
      <c r="H88" s="2"/>
      <c r="I88" s="2"/>
      <c r="J88" s="2"/>
      <c r="K88" s="2"/>
      <c r="L88" s="2"/>
      <c r="M88" s="2"/>
      <c r="N88" s="2"/>
      <c r="O88" s="2"/>
      <c r="P88" s="2"/>
      <c r="Q88" s="2"/>
      <c r="R88" s="2"/>
      <c r="S88" s="2"/>
      <c r="T88" s="2"/>
      <c r="U88" s="2"/>
      <c r="V88" s="2"/>
      <c r="W88" s="2"/>
      <c r="X88" s="2"/>
      <c r="Y88" s="2"/>
      <c r="Z88" s="2"/>
      <c r="AA88" s="2"/>
      <c r="AB88" s="2"/>
      <c r="AC88" s="2"/>
      <c r="AD88" s="38"/>
    </row>
    <row r="89" spans="2:30" hidden="1">
      <c r="B89" s="4"/>
      <c r="C89" s="12"/>
      <c r="D89" s="2"/>
      <c r="E89" s="2"/>
      <c r="F89" s="2"/>
      <c r="G89" s="2"/>
      <c r="H89" s="2"/>
      <c r="I89" s="2"/>
      <c r="J89" s="2"/>
      <c r="K89" s="2"/>
      <c r="L89" s="2"/>
      <c r="M89" s="2"/>
      <c r="N89" s="2"/>
      <c r="O89" s="2"/>
      <c r="P89" s="2"/>
      <c r="Q89" s="2"/>
      <c r="R89" s="2"/>
      <c r="S89" s="2"/>
      <c r="T89" s="2"/>
      <c r="U89" s="2"/>
      <c r="V89" s="2"/>
      <c r="W89" s="2"/>
      <c r="X89" s="2"/>
      <c r="Y89" s="2"/>
      <c r="Z89" s="2"/>
      <c r="AA89" s="2"/>
      <c r="AB89" s="2"/>
      <c r="AC89" s="2"/>
      <c r="AD89" s="38"/>
    </row>
    <row r="90" spans="2:30" hidden="1">
      <c r="B90" s="4"/>
      <c r="C90" s="12"/>
      <c r="D90" s="2"/>
      <c r="E90" s="2"/>
      <c r="F90" s="2"/>
      <c r="G90" s="2"/>
      <c r="H90" s="2"/>
      <c r="I90" s="2"/>
      <c r="J90" s="2"/>
      <c r="K90" s="2"/>
      <c r="L90" s="2"/>
      <c r="M90" s="2"/>
      <c r="N90" s="2"/>
      <c r="O90" s="2"/>
      <c r="P90" s="2"/>
      <c r="Q90" s="2"/>
      <c r="R90" s="2"/>
      <c r="S90" s="2"/>
      <c r="T90" s="2"/>
      <c r="U90" s="2"/>
      <c r="V90" s="2"/>
      <c r="W90" s="2"/>
      <c r="X90" s="2"/>
      <c r="Y90" s="2"/>
      <c r="Z90" s="2"/>
      <c r="AA90" s="2"/>
      <c r="AB90" s="2"/>
      <c r="AC90" s="2"/>
      <c r="AD90" s="38"/>
    </row>
    <row r="91" spans="2:30" hidden="1">
      <c r="B91" s="4"/>
      <c r="C91" s="12"/>
      <c r="D91" s="2"/>
      <c r="E91" s="2"/>
      <c r="F91" s="2"/>
      <c r="G91" s="2"/>
      <c r="H91" s="2"/>
      <c r="I91" s="2"/>
      <c r="J91" s="2"/>
      <c r="K91" s="2"/>
      <c r="L91" s="2"/>
      <c r="M91" s="2"/>
      <c r="N91" s="2"/>
      <c r="O91" s="2"/>
      <c r="P91" s="2"/>
      <c r="Q91" s="2"/>
      <c r="R91" s="2"/>
      <c r="S91" s="2"/>
      <c r="T91" s="2"/>
      <c r="U91" s="2"/>
      <c r="V91" s="2"/>
      <c r="W91" s="2"/>
      <c r="X91" s="2"/>
      <c r="Y91" s="2"/>
      <c r="Z91" s="2"/>
      <c r="AA91" s="2"/>
      <c r="AB91" s="2"/>
      <c r="AC91" s="2"/>
      <c r="AD91" s="38"/>
    </row>
    <row r="92" spans="2:30" hidden="1">
      <c r="B92" s="4"/>
      <c r="C92" s="12"/>
      <c r="D92" s="2"/>
      <c r="E92" s="2"/>
      <c r="F92" s="2"/>
      <c r="G92" s="2"/>
      <c r="H92" s="2"/>
      <c r="I92" s="2"/>
      <c r="J92" s="2"/>
      <c r="K92" s="2"/>
      <c r="L92" s="2"/>
      <c r="M92" s="2"/>
      <c r="N92" s="2"/>
      <c r="O92" s="2"/>
      <c r="P92" s="2"/>
      <c r="Q92" s="2"/>
      <c r="R92" s="2"/>
      <c r="S92" s="2"/>
      <c r="T92" s="2"/>
      <c r="U92" s="2"/>
      <c r="V92" s="2"/>
      <c r="W92" s="2"/>
      <c r="X92" s="2"/>
      <c r="Y92" s="2"/>
      <c r="Z92" s="2"/>
      <c r="AA92" s="2"/>
      <c r="AB92" s="2"/>
      <c r="AC92" s="2"/>
      <c r="AD92" s="38"/>
    </row>
    <row r="93" spans="2:30" hidden="1">
      <c r="B93" s="4"/>
      <c r="C93" s="12"/>
      <c r="D93" s="2"/>
      <c r="E93" s="2"/>
      <c r="F93" s="2"/>
      <c r="G93" s="2"/>
      <c r="H93" s="2"/>
      <c r="I93" s="2"/>
      <c r="J93" s="2"/>
      <c r="K93" s="2"/>
      <c r="L93" s="2"/>
      <c r="M93" s="2"/>
      <c r="N93" s="2"/>
      <c r="O93" s="2"/>
      <c r="P93" s="2"/>
      <c r="Q93" s="2"/>
      <c r="R93" s="2"/>
      <c r="S93" s="2"/>
      <c r="T93" s="2"/>
      <c r="U93" s="2"/>
      <c r="V93" s="2"/>
      <c r="W93" s="2"/>
      <c r="X93" s="2"/>
      <c r="Y93" s="2"/>
      <c r="Z93" s="2"/>
      <c r="AA93" s="2"/>
      <c r="AB93" s="2"/>
      <c r="AC93" s="2"/>
      <c r="AD93" s="38"/>
    </row>
    <row r="94" spans="2:30" hidden="1">
      <c r="B94" s="4"/>
      <c r="C94" s="12"/>
      <c r="D94" s="2"/>
      <c r="E94" s="2"/>
      <c r="F94" s="2"/>
      <c r="G94" s="2"/>
      <c r="H94" s="2"/>
      <c r="I94" s="2"/>
      <c r="J94" s="2"/>
      <c r="K94" s="2"/>
      <c r="L94" s="2"/>
      <c r="M94" s="2"/>
      <c r="N94" s="2"/>
      <c r="O94" s="2"/>
      <c r="P94" s="2"/>
      <c r="Q94" s="2"/>
      <c r="R94" s="2"/>
      <c r="S94" s="2"/>
      <c r="T94" s="2"/>
      <c r="U94" s="2"/>
      <c r="V94" s="2"/>
      <c r="W94" s="2"/>
      <c r="X94" s="2"/>
      <c r="Y94" s="2"/>
      <c r="Z94" s="2"/>
      <c r="AA94" s="2"/>
      <c r="AB94" s="2"/>
      <c r="AC94" s="2"/>
      <c r="AD94" s="38"/>
    </row>
    <row r="95" spans="2:30" hidden="1">
      <c r="B95" s="4"/>
      <c r="C95" s="12"/>
      <c r="D95" s="2"/>
      <c r="E95" s="2"/>
      <c r="F95" s="2"/>
      <c r="G95" s="2"/>
      <c r="H95" s="2"/>
      <c r="I95" s="2"/>
      <c r="J95" s="2"/>
      <c r="K95" s="2"/>
      <c r="L95" s="2"/>
      <c r="M95" s="2"/>
      <c r="N95" s="2"/>
      <c r="O95" s="2"/>
      <c r="P95" s="2"/>
      <c r="Q95" s="2"/>
      <c r="R95" s="2"/>
      <c r="S95" s="2"/>
      <c r="T95" s="2"/>
      <c r="U95" s="2"/>
      <c r="V95" s="2"/>
      <c r="W95" s="2"/>
      <c r="X95" s="2"/>
      <c r="Y95" s="2"/>
      <c r="Z95" s="2"/>
      <c r="AA95" s="2"/>
      <c r="AB95" s="2"/>
      <c r="AC95" s="2"/>
      <c r="AD95" s="38"/>
    </row>
    <row r="96" spans="2:30" hidden="1">
      <c r="B96" s="4"/>
      <c r="C96" s="12"/>
      <c r="D96" s="2"/>
      <c r="E96" s="2"/>
      <c r="F96" s="2"/>
      <c r="G96" s="2"/>
      <c r="H96" s="2"/>
      <c r="I96" s="2"/>
      <c r="J96" s="2"/>
      <c r="K96" s="2"/>
      <c r="L96" s="2"/>
      <c r="M96" s="2"/>
      <c r="N96" s="2"/>
      <c r="O96" s="2"/>
      <c r="P96" s="2"/>
      <c r="Q96" s="2"/>
      <c r="R96" s="2"/>
      <c r="S96" s="2"/>
      <c r="T96" s="2"/>
      <c r="U96" s="2"/>
      <c r="V96" s="2"/>
      <c r="W96" s="2"/>
      <c r="X96" s="2"/>
      <c r="Y96" s="2"/>
      <c r="Z96" s="2"/>
      <c r="AA96" s="2"/>
      <c r="AB96" s="2"/>
      <c r="AC96" s="2"/>
      <c r="AD96" s="38"/>
    </row>
    <row r="97" spans="2:30" hidden="1">
      <c r="B97" s="4"/>
      <c r="C97" s="12"/>
      <c r="D97" s="2"/>
      <c r="E97" s="2"/>
      <c r="F97" s="2"/>
      <c r="G97" s="2"/>
      <c r="H97" s="2"/>
      <c r="I97" s="2"/>
      <c r="J97" s="2"/>
      <c r="K97" s="2"/>
      <c r="L97" s="2"/>
      <c r="M97" s="2"/>
      <c r="N97" s="2"/>
      <c r="O97" s="2"/>
      <c r="P97" s="2"/>
      <c r="Q97" s="2"/>
      <c r="R97" s="2"/>
      <c r="S97" s="2"/>
      <c r="T97" s="2"/>
      <c r="U97" s="2"/>
      <c r="V97" s="2"/>
      <c r="W97" s="2"/>
      <c r="X97" s="2"/>
      <c r="Y97" s="2"/>
      <c r="Z97" s="2"/>
      <c r="AA97" s="2"/>
      <c r="AB97" s="2"/>
      <c r="AC97" s="2"/>
      <c r="AD97" s="38"/>
    </row>
    <row r="98" spans="2:30" hidden="1">
      <c r="B98" s="4"/>
      <c r="C98" s="12"/>
      <c r="D98" s="2"/>
      <c r="E98" s="2"/>
      <c r="F98" s="2"/>
      <c r="G98" s="2"/>
      <c r="H98" s="2"/>
      <c r="I98" s="2"/>
      <c r="J98" s="2"/>
      <c r="K98" s="2"/>
      <c r="L98" s="2"/>
      <c r="M98" s="2"/>
      <c r="N98" s="2"/>
      <c r="O98" s="2"/>
      <c r="P98" s="2"/>
      <c r="Q98" s="2"/>
      <c r="R98" s="2"/>
      <c r="S98" s="2"/>
      <c r="T98" s="2"/>
      <c r="U98" s="2"/>
      <c r="V98" s="2"/>
      <c r="W98" s="2"/>
      <c r="X98" s="2"/>
      <c r="Y98" s="2"/>
      <c r="Z98" s="2"/>
      <c r="AA98" s="2"/>
      <c r="AB98" s="2"/>
      <c r="AC98" s="2"/>
      <c r="AD98" s="38"/>
    </row>
    <row r="99" spans="2:30" hidden="1">
      <c r="B99" s="4"/>
      <c r="C99" s="12"/>
      <c r="D99" s="2"/>
      <c r="E99" s="2"/>
      <c r="F99" s="2"/>
      <c r="G99" s="2"/>
      <c r="H99" s="2"/>
      <c r="I99" s="2"/>
      <c r="J99" s="2"/>
      <c r="K99" s="2"/>
      <c r="L99" s="2"/>
      <c r="M99" s="2"/>
      <c r="N99" s="2"/>
      <c r="O99" s="2"/>
      <c r="P99" s="2"/>
      <c r="Q99" s="2"/>
      <c r="R99" s="2"/>
      <c r="S99" s="2"/>
      <c r="T99" s="2"/>
      <c r="U99" s="2"/>
      <c r="V99" s="2"/>
      <c r="W99" s="2"/>
      <c r="X99" s="2"/>
      <c r="Y99" s="2"/>
      <c r="Z99" s="2"/>
      <c r="AA99" s="2"/>
      <c r="AB99" s="2"/>
      <c r="AC99" s="2"/>
      <c r="AD99" s="38"/>
    </row>
    <row r="100" spans="2:30">
      <c r="B100" s="4"/>
      <c r="C100" s="1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38"/>
    </row>
    <row r="101" spans="2:30">
      <c r="B101" s="4"/>
      <c r="C101" s="1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38"/>
    </row>
    <row r="102" spans="2:30">
      <c r="B102" s="4"/>
      <c r="C102" s="1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38"/>
    </row>
    <row r="103" spans="2:30">
      <c r="B103" s="4"/>
      <c r="C103" s="1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38"/>
    </row>
    <row r="104" spans="2:30">
      <c r="B104" s="4"/>
      <c r="C104" s="1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38"/>
    </row>
  </sheetData>
  <sheetProtection algorithmName="SHA-512" hashValue="5jpfezCMcnBqtm4XSkNrloaUpH1mzyDR+focmmNYRAFQ+jXEuSrh/wbDqZZ/gQpZiFf+sBkgZZIHvYCZaIiC2A==" saltValue="trS/VE5Ey1H3/NL4Cz1Hlw==" spinCount="100000" sheet="1" objects="1" scenarios="1"/>
  <mergeCells count="6">
    <mergeCell ref="D29:R29"/>
    <mergeCell ref="D22:R22"/>
    <mergeCell ref="D4:T11"/>
    <mergeCell ref="D15:N20"/>
    <mergeCell ref="D14:N14"/>
    <mergeCell ref="D12:T1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F25325B-9713-4BEE-8EF3-4A8C3365BAE3}">
          <x14:formula1>
            <xm:f>Dropdown!$Y$3:$Y$4</xm:f>
          </x14:formula1>
          <xm:sqref>F31:F61 F24:F25</xm:sqref>
        </x14:dataValidation>
        <x14:dataValidation type="list" allowBlank="1" showInputMessage="1" showErrorMessage="1" xr:uid="{5C6557F5-5408-4727-BB37-88EB2D928C6F}">
          <x14:formula1>
            <xm:f>Dropdown!$F$5:$F$11</xm:f>
          </x14:formula1>
          <xm:sqref>J31:J61 J24:J25</xm:sqref>
        </x14:dataValidation>
        <x14:dataValidation type="list" allowBlank="1" showInputMessage="1" showErrorMessage="1" xr:uid="{566C1418-7CA8-4278-8EF1-95ADBEFA87A0}">
          <x14:formula1>
            <xm:f>'Organisation Details'!$G$33:$G$58</xm:f>
          </x14:formula1>
          <xm:sqref>D31:D61</xm:sqref>
        </x14:dataValidation>
        <x14:dataValidation type="list" allowBlank="1" showInputMessage="1" showErrorMessage="1" xr:uid="{ABAE6FB0-4695-471D-89D8-726A4BEBA9D0}">
          <x14:formula1>
            <xm:f>Dropdown!$C$4:$C$7</xm:f>
          </x14:formula1>
          <xm:sqref>D24:D25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2C6E-1793-4DB7-A920-5A339F3FF57C}">
  <sheetPr codeName="Sheet10">
    <tabColor rgb="FF9C86CD"/>
  </sheetPr>
  <dimension ref="A1:AD104"/>
  <sheetViews>
    <sheetView showGridLines="0" showRowColHeaders="0" topLeftCell="B2" zoomScale="75" zoomScaleNormal="75" workbookViewId="0">
      <selection activeCell="O19" sqref="O19"/>
    </sheetView>
  </sheetViews>
  <sheetFormatPr defaultColWidth="0" defaultRowHeight="14.25" zeroHeight="1"/>
  <cols>
    <col min="1" max="1" width="20.28515625" style="71" hidden="1" customWidth="1"/>
    <col min="2" max="2" width="4.28515625" style="71" customWidth="1"/>
    <col min="3" max="3" width="4.7109375" style="178" customWidth="1"/>
    <col min="4" max="4" width="36.28515625" style="71" customWidth="1"/>
    <col min="5" max="5" width="44.28515625" style="71" customWidth="1"/>
    <col min="6" max="6" width="23.42578125" style="71" customWidth="1"/>
    <col min="7" max="7" width="33.7109375" style="71" customWidth="1"/>
    <col min="8" max="8" width="32.85546875" style="71" customWidth="1"/>
    <col min="9" max="9" width="14.140625" style="71" hidden="1" customWidth="1"/>
    <col min="10" max="10" width="15.7109375" style="71" customWidth="1"/>
    <col min="11" max="11" width="22.140625" style="71" customWidth="1"/>
    <col min="12" max="12" width="18.42578125" style="71" customWidth="1"/>
    <col min="13" max="13" width="15.140625" style="71" hidden="1" customWidth="1"/>
    <col min="14" max="14" width="18.85546875" style="71" bestFit="1" customWidth="1"/>
    <col min="15" max="15" width="13.28515625" style="71" bestFit="1" customWidth="1"/>
    <col min="16" max="16" width="15.140625" style="71" customWidth="1"/>
    <col min="17" max="17" width="24.7109375" style="71" customWidth="1"/>
    <col min="18" max="18" width="29.7109375" style="71" customWidth="1"/>
    <col min="19" max="19" width="121.7109375" style="71" customWidth="1"/>
    <col min="20" max="20" width="43.42578125" style="71" customWidth="1"/>
    <col min="21" max="22" width="14" style="71" customWidth="1"/>
    <col min="23" max="23" width="25.7109375" style="71" customWidth="1"/>
    <col min="24" max="26" width="20.7109375" style="71" customWidth="1"/>
    <col min="27" max="27" width="30.7109375" style="71" customWidth="1"/>
    <col min="28" max="28" width="138" style="71" bestFit="1" customWidth="1"/>
    <col min="29" max="29" width="14" style="71" customWidth="1"/>
    <col min="30" max="30" width="14" style="179" customWidth="1"/>
    <col min="31" max="16384" width="14" style="71" hidden="1"/>
  </cols>
  <sheetData>
    <row r="1" spans="1:30" ht="14.1" hidden="1" customHeight="1">
      <c r="C1" s="71"/>
      <c r="D1" s="166"/>
      <c r="E1" s="166"/>
      <c r="F1" s="166"/>
      <c r="G1" s="166"/>
      <c r="H1" s="166"/>
      <c r="I1" s="166"/>
      <c r="J1" s="166"/>
      <c r="K1" s="166"/>
      <c r="L1" s="166"/>
      <c r="M1" s="166"/>
      <c r="N1" s="166"/>
      <c r="O1" s="166"/>
      <c r="P1" s="166"/>
      <c r="Q1" s="166"/>
      <c r="R1" s="166"/>
      <c r="S1" s="166"/>
      <c r="T1" s="166"/>
      <c r="U1" s="166"/>
      <c r="V1" s="166"/>
      <c r="W1" s="166"/>
      <c r="X1" s="166"/>
      <c r="Y1" s="166"/>
      <c r="Z1" s="166"/>
      <c r="AD1" s="71"/>
    </row>
    <row r="2" spans="1:30" ht="13.5" customHeight="1">
      <c r="A2" s="71" t="str">
        <f>Introduction!$E$14</f>
        <v>Føroyskt</v>
      </c>
      <c r="B2" s="167"/>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row>
    <row r="3" spans="1:30">
      <c r="A3" s="168" t="s">
        <v>0</v>
      </c>
      <c r="B3" s="166"/>
      <c r="C3" s="169"/>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1"/>
    </row>
    <row r="4" spans="1:30" ht="5.0999999999999996" customHeight="1">
      <c r="A4" s="71" t="s">
        <v>131</v>
      </c>
      <c r="B4" s="172"/>
      <c r="C4" s="173"/>
      <c r="D4" s="418" t="str">
        <f>IF($A$2="English",_xlfn.XLOOKUP($A$3,Descriptions!$A:$A,Descriptions!$B:$B),_xlfn.XLOOKUP($A$3,Descriptions!$A:$A,Descriptions!$C:$C))</f>
        <v>Føroyskur CO2-roknari. Ár: 2023</v>
      </c>
      <c r="E4" s="418"/>
      <c r="F4" s="418"/>
      <c r="G4" s="418"/>
      <c r="H4" s="418"/>
      <c r="I4" s="418"/>
      <c r="J4" s="418"/>
      <c r="K4" s="418"/>
      <c r="L4" s="418"/>
      <c r="M4" s="418"/>
      <c r="N4" s="418"/>
      <c r="O4" s="418"/>
      <c r="P4" s="418"/>
      <c r="Q4" s="418"/>
      <c r="R4" s="418"/>
      <c r="S4" s="418"/>
      <c r="T4" s="418"/>
      <c r="U4" s="67"/>
      <c r="V4" s="67"/>
      <c r="W4" s="67"/>
      <c r="X4" s="67"/>
      <c r="Y4" s="67"/>
      <c r="Z4" s="67"/>
      <c r="AA4" s="67"/>
      <c r="AB4" s="67"/>
      <c r="AC4" s="67"/>
      <c r="AD4" s="151"/>
    </row>
    <row r="5" spans="1:30" ht="5.0999999999999996" customHeight="1">
      <c r="A5" s="71" t="s">
        <v>107</v>
      </c>
      <c r="B5" s="166"/>
      <c r="C5" s="173"/>
      <c r="D5" s="418"/>
      <c r="E5" s="418"/>
      <c r="F5" s="418"/>
      <c r="G5" s="418"/>
      <c r="H5" s="418"/>
      <c r="I5" s="418"/>
      <c r="J5" s="418"/>
      <c r="K5" s="418"/>
      <c r="L5" s="418"/>
      <c r="M5" s="418"/>
      <c r="N5" s="418"/>
      <c r="O5" s="418"/>
      <c r="P5" s="418"/>
      <c r="Q5" s="418"/>
      <c r="R5" s="418"/>
      <c r="S5" s="418"/>
      <c r="T5" s="418"/>
      <c r="U5" s="67"/>
      <c r="V5" s="67"/>
      <c r="W5" s="67"/>
      <c r="X5" s="67"/>
      <c r="Y5" s="67"/>
      <c r="Z5" s="67"/>
      <c r="AA5" s="67"/>
      <c r="AB5" s="67"/>
      <c r="AC5" s="67"/>
      <c r="AD5" s="151"/>
    </row>
    <row r="6" spans="1:30" ht="5.0999999999999996" customHeight="1">
      <c r="A6" s="71" t="s">
        <v>241</v>
      </c>
      <c r="B6" s="166"/>
      <c r="C6" s="173"/>
      <c r="D6" s="418"/>
      <c r="E6" s="418"/>
      <c r="F6" s="418"/>
      <c r="G6" s="418"/>
      <c r="H6" s="418"/>
      <c r="I6" s="418"/>
      <c r="J6" s="418"/>
      <c r="K6" s="418"/>
      <c r="L6" s="418"/>
      <c r="M6" s="418"/>
      <c r="N6" s="418"/>
      <c r="O6" s="418"/>
      <c r="P6" s="418"/>
      <c r="Q6" s="418"/>
      <c r="R6" s="418"/>
      <c r="S6" s="418"/>
      <c r="T6" s="418"/>
      <c r="U6" s="67"/>
      <c r="V6" s="67"/>
      <c r="W6" s="67"/>
      <c r="X6" s="67"/>
      <c r="Y6" s="67"/>
      <c r="Z6" s="67"/>
      <c r="AA6" s="67"/>
      <c r="AB6" s="67"/>
      <c r="AC6" s="67"/>
      <c r="AD6" s="151"/>
    </row>
    <row r="7" spans="1:30" ht="5.0999999999999996" customHeight="1">
      <c r="A7" s="71" t="s">
        <v>242</v>
      </c>
      <c r="B7" s="166"/>
      <c r="C7" s="173"/>
      <c r="D7" s="418"/>
      <c r="E7" s="418"/>
      <c r="F7" s="418"/>
      <c r="G7" s="418"/>
      <c r="H7" s="418"/>
      <c r="I7" s="418"/>
      <c r="J7" s="418"/>
      <c r="K7" s="418"/>
      <c r="L7" s="418"/>
      <c r="M7" s="418"/>
      <c r="N7" s="418"/>
      <c r="O7" s="418"/>
      <c r="P7" s="418"/>
      <c r="Q7" s="418"/>
      <c r="R7" s="418"/>
      <c r="S7" s="418"/>
      <c r="T7" s="418"/>
      <c r="U7" s="67"/>
      <c r="V7" s="67"/>
      <c r="W7" s="67"/>
      <c r="X7" s="67"/>
      <c r="Y7" s="67"/>
      <c r="Z7" s="67"/>
      <c r="AA7" s="67"/>
      <c r="AB7" s="67"/>
      <c r="AC7" s="67"/>
      <c r="AD7" s="151"/>
    </row>
    <row r="8" spans="1:30" ht="5.0999999999999996" customHeight="1">
      <c r="A8" s="71" t="s">
        <v>243</v>
      </c>
      <c r="B8" s="166"/>
      <c r="C8" s="173"/>
      <c r="D8" s="418"/>
      <c r="E8" s="418"/>
      <c r="F8" s="418"/>
      <c r="G8" s="418"/>
      <c r="H8" s="418"/>
      <c r="I8" s="418"/>
      <c r="J8" s="418"/>
      <c r="K8" s="418"/>
      <c r="L8" s="418"/>
      <c r="M8" s="418"/>
      <c r="N8" s="418"/>
      <c r="O8" s="418"/>
      <c r="P8" s="418"/>
      <c r="Q8" s="418"/>
      <c r="R8" s="418"/>
      <c r="S8" s="418"/>
      <c r="T8" s="418"/>
      <c r="U8" s="67"/>
      <c r="V8" s="67"/>
      <c r="W8" s="67"/>
      <c r="X8" s="67"/>
      <c r="Y8" s="67"/>
      <c r="Z8" s="67"/>
      <c r="AA8" s="67"/>
      <c r="AB8" s="67"/>
      <c r="AC8" s="67"/>
      <c r="AD8" s="151"/>
    </row>
    <row r="9" spans="1:30" ht="5.0999999999999996" customHeight="1">
      <c r="A9" s="71" t="s">
        <v>244</v>
      </c>
      <c r="B9" s="166"/>
      <c r="C9" s="173"/>
      <c r="D9" s="418"/>
      <c r="E9" s="418"/>
      <c r="F9" s="418"/>
      <c r="G9" s="418"/>
      <c r="H9" s="418"/>
      <c r="I9" s="418"/>
      <c r="J9" s="418"/>
      <c r="K9" s="418"/>
      <c r="L9" s="418"/>
      <c r="M9" s="418"/>
      <c r="N9" s="418"/>
      <c r="O9" s="418"/>
      <c r="P9" s="418"/>
      <c r="Q9" s="418"/>
      <c r="R9" s="418"/>
      <c r="S9" s="418"/>
      <c r="T9" s="418"/>
      <c r="U9" s="67"/>
      <c r="V9" s="67"/>
      <c r="W9" s="67"/>
      <c r="X9" s="67"/>
      <c r="Y9" s="67"/>
      <c r="Z9" s="67"/>
      <c r="AA9" s="67"/>
      <c r="AB9" s="67"/>
      <c r="AC9" s="67"/>
      <c r="AD9" s="151"/>
    </row>
    <row r="10" spans="1:30" ht="5.0999999999999996" customHeight="1">
      <c r="A10" s="71" t="s">
        <v>167</v>
      </c>
      <c r="B10" s="166"/>
      <c r="C10" s="173"/>
      <c r="D10" s="418"/>
      <c r="E10" s="418"/>
      <c r="F10" s="418"/>
      <c r="G10" s="418"/>
      <c r="H10" s="418"/>
      <c r="I10" s="418"/>
      <c r="J10" s="418"/>
      <c r="K10" s="418"/>
      <c r="L10" s="418"/>
      <c r="M10" s="418"/>
      <c r="N10" s="418"/>
      <c r="O10" s="418"/>
      <c r="P10" s="418"/>
      <c r="Q10" s="418"/>
      <c r="R10" s="418"/>
      <c r="S10" s="418"/>
      <c r="T10" s="418"/>
      <c r="U10" s="67"/>
      <c r="V10" s="67"/>
      <c r="W10" s="67"/>
      <c r="X10" s="67"/>
      <c r="Y10" s="67"/>
      <c r="Z10" s="67"/>
      <c r="AA10" s="67"/>
      <c r="AB10" s="67"/>
      <c r="AC10" s="67"/>
      <c r="AD10" s="151"/>
    </row>
    <row r="11" spans="1:30" ht="5.0999999999999996" customHeight="1">
      <c r="A11" s="71" t="s">
        <v>168</v>
      </c>
      <c r="B11" s="166"/>
      <c r="C11" s="173"/>
      <c r="D11" s="418"/>
      <c r="E11" s="418"/>
      <c r="F11" s="418"/>
      <c r="G11" s="418"/>
      <c r="H11" s="418"/>
      <c r="I11" s="418"/>
      <c r="J11" s="418"/>
      <c r="K11" s="418"/>
      <c r="L11" s="418"/>
      <c r="M11" s="418"/>
      <c r="N11" s="418"/>
      <c r="O11" s="418"/>
      <c r="P11" s="418"/>
      <c r="Q11" s="418"/>
      <c r="R11" s="418"/>
      <c r="S11" s="418"/>
      <c r="T11" s="418"/>
      <c r="U11" s="67"/>
      <c r="V11" s="67"/>
      <c r="W11" s="67"/>
      <c r="X11" s="67"/>
      <c r="Y11" s="67"/>
      <c r="Z11" s="67"/>
      <c r="AA11" s="67"/>
      <c r="AB11" s="67"/>
      <c r="AC11" s="67"/>
      <c r="AD11" s="151"/>
    </row>
    <row r="12" spans="1:30" ht="99.95" customHeight="1">
      <c r="A12" s="71" t="s">
        <v>169</v>
      </c>
      <c r="B12" s="166"/>
      <c r="C12" s="173"/>
      <c r="D12" s="419" t="str">
        <f>IF($A$2="English",_xlfn.XLOOKUP($A$5,Descriptions!$A:$A,Descriptions!$B:$B),_xlfn.XLOOKUP($A$5,Descriptions!$A:$A,Descriptions!$C:$C))</f>
        <v>V3 - Rávøruflutningur og -veiting</v>
      </c>
      <c r="E12" s="419"/>
      <c r="F12" s="419"/>
      <c r="G12" s="419"/>
      <c r="H12" s="419"/>
      <c r="I12" s="419"/>
      <c r="J12" s="419"/>
      <c r="K12" s="419"/>
      <c r="L12" s="419"/>
      <c r="M12" s="419"/>
      <c r="N12" s="419"/>
      <c r="O12" s="419"/>
      <c r="P12" s="419"/>
      <c r="Q12" s="419"/>
      <c r="R12" s="419"/>
      <c r="S12" s="419"/>
      <c r="T12" s="419"/>
      <c r="U12" s="67"/>
      <c r="V12" s="67"/>
      <c r="W12" s="67"/>
      <c r="X12" s="67"/>
      <c r="Y12" s="67"/>
      <c r="Z12" s="67"/>
      <c r="AA12" s="67"/>
      <c r="AB12" s="67"/>
      <c r="AC12" s="67"/>
      <c r="AD12" s="151"/>
    </row>
    <row r="13" spans="1:30">
      <c r="A13" s="71" t="s">
        <v>170</v>
      </c>
      <c r="B13" s="166"/>
      <c r="C13" s="173"/>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1"/>
    </row>
    <row r="14" spans="1:30" ht="30" customHeight="1">
      <c r="A14" s="71" t="s">
        <v>171</v>
      </c>
      <c r="B14" s="166"/>
      <c r="C14" s="173"/>
      <c r="D14" s="437" t="str">
        <f>IF($A$2="English",_xlfn.XLOOKUP($A$4,Descriptions!$A:$A,Descriptions!$B:$B),_xlfn.XLOOKUP($A$4,Descriptions!$A:$A,Descriptions!$C:$C))</f>
        <v>Vegleiðing</v>
      </c>
      <c r="E14" s="437"/>
      <c r="F14" s="437"/>
      <c r="G14" s="437"/>
      <c r="H14" s="437"/>
      <c r="I14" s="437"/>
      <c r="J14" s="437"/>
      <c r="K14" s="437"/>
      <c r="L14" s="437"/>
      <c r="M14" s="67"/>
      <c r="N14" s="67"/>
      <c r="O14" s="67"/>
      <c r="Q14" s="347" t="str">
        <f>'V2 - District Heating'!P14</f>
        <v>Key</v>
      </c>
      <c r="R14" s="67"/>
      <c r="S14" s="67"/>
      <c r="T14" s="67"/>
      <c r="U14" s="67"/>
      <c r="V14" s="67"/>
      <c r="W14" s="67"/>
      <c r="X14" s="67"/>
      <c r="Y14" s="67"/>
      <c r="Z14" s="67"/>
      <c r="AA14" s="67"/>
      <c r="AB14" s="67"/>
      <c r="AC14" s="67"/>
      <c r="AD14" s="151"/>
    </row>
    <row r="15" spans="1:30" ht="14.1" customHeight="1">
      <c r="A15" s="71" t="s">
        <v>172</v>
      </c>
      <c r="B15" s="166"/>
      <c r="C15" s="173"/>
      <c r="D15" s="451" t="str">
        <f>IF($A$2="English",_xlfn.XLOOKUP($A$6,Descriptions!$A:$A,Descriptions!$B:$B),_xlfn.XLOOKUP($A$6,Descriptions!$A:$A,Descriptions!$C:$C))</f>
        <v xml:space="preserve">Vav 3 - Rávøruflutningur og -veiting fevnir um brennievnisnýtslu hjá akførum, ið eru fíggjað av fyritøkuni og nýtt til rávøruflutning og -veiting í virðisketu fyritøkunnar. Brúkarin skal antin seta inn tal fyri brennievnisnýtslu ella kenna teinin millum veitara og móttakara í rávøruvirðisketuni. Somuleiðis skal flutningsslag skrásetast (t.d. flogflutningur, tung akfør).
Kravdar dátur:
• Høli/ogn og staðseting (hagar flutningurin fer, endastøð)
• Virksemi (í sambandi við flutning)
• Slag av rádáta (brennisnýtsla ella teinur).
• Flutningsháttur
• Útlátskelda
• Brennievnisnøgd/flutningsteinur
• Eindir fyri brennievnisnøgd/flutningstein
GG:
• Vegna útvegaðu dáturnar um útlátsfaktorskeldur verður valda slagið av dátum, 'Teinur' ella 'Brennievni', avgerandi fyri, hvørji sløg av flutningi og hvørjar útlátskeldur eru tøkar.
• Tons.km - Mát, ið svarar til flutning av einum tonsi av vøru ein km. Eindin tons.km skal setast á ‘vøruna’ av fluttum tonsum av vørum og á kilometrarnar, ið ferðast verður. Km-tølini sipa til heil akfør, ið eru brúkt til flutning og telja sostatt fyri alt akfarið.
• Tons = 1000 kg
• kWh virðini fyri øll brennievni frá BEIS 2023 Conversions Factors eru Gross Calorific virði (Gross CV).
</v>
      </c>
      <c r="E15" s="451"/>
      <c r="F15" s="451"/>
      <c r="G15" s="451"/>
      <c r="H15" s="451"/>
      <c r="I15" s="451"/>
      <c r="J15" s="451"/>
      <c r="K15" s="451"/>
      <c r="L15" s="451"/>
      <c r="M15" s="67"/>
      <c r="N15" s="67"/>
      <c r="O15" s="67"/>
      <c r="P15" s="67"/>
      <c r="Q15" s="81" t="str">
        <f>'V2 - District Heating'!P15</f>
        <v>Dátuíkast - Fallmynd</v>
      </c>
      <c r="R15" s="94"/>
      <c r="S15" s="67"/>
      <c r="T15" s="67"/>
      <c r="U15" s="67"/>
      <c r="V15" s="67"/>
      <c r="W15" s="67"/>
      <c r="X15" s="67"/>
      <c r="Y15" s="67"/>
      <c r="Z15" s="67"/>
      <c r="AA15" s="67"/>
      <c r="AB15" s="67"/>
      <c r="AC15" s="67"/>
      <c r="AD15" s="151"/>
    </row>
    <row r="16" spans="1:30" ht="14.1" customHeight="1">
      <c r="A16" s="71" t="s">
        <v>173</v>
      </c>
      <c r="B16" s="166"/>
      <c r="C16" s="173"/>
      <c r="D16" s="451"/>
      <c r="E16" s="451"/>
      <c r="F16" s="451"/>
      <c r="G16" s="451"/>
      <c r="H16" s="451"/>
      <c r="I16" s="451"/>
      <c r="J16" s="451"/>
      <c r="K16" s="451"/>
      <c r="L16" s="451"/>
      <c r="M16" s="67"/>
      <c r="N16" s="67"/>
      <c r="O16" s="67"/>
      <c r="P16" s="67"/>
      <c r="Q16" s="82" t="str">
        <f>'V2 - District Heating'!P16</f>
        <v>Dátuíkast - Tøppa inn</v>
      </c>
      <c r="R16" s="94"/>
      <c r="S16" s="67"/>
      <c r="T16" s="67"/>
      <c r="U16" s="67"/>
      <c r="V16" s="67"/>
      <c r="W16" s="67"/>
      <c r="X16" s="67"/>
      <c r="Y16" s="67"/>
      <c r="Z16" s="67"/>
      <c r="AA16" s="67"/>
      <c r="AB16" s="67"/>
      <c r="AC16" s="67"/>
      <c r="AD16" s="151"/>
    </row>
    <row r="17" spans="1:30" ht="14.1" customHeight="1">
      <c r="A17" s="71" t="s">
        <v>175</v>
      </c>
      <c r="B17" s="166"/>
      <c r="C17" s="173"/>
      <c r="D17" s="451"/>
      <c r="E17" s="451"/>
      <c r="F17" s="451"/>
      <c r="G17" s="451"/>
      <c r="H17" s="451"/>
      <c r="I17" s="451"/>
      <c r="J17" s="451"/>
      <c r="K17" s="451"/>
      <c r="L17" s="451"/>
      <c r="M17" s="67"/>
      <c r="N17" s="67"/>
      <c r="O17" s="67"/>
      <c r="P17" s="67"/>
      <c r="Q17" s="302" t="str">
        <f>'V2 - District Heating'!P17</f>
        <v>Leiting (fastløst)</v>
      </c>
      <c r="R17" s="94"/>
      <c r="S17" s="94"/>
      <c r="T17" s="94"/>
      <c r="U17" s="67"/>
      <c r="V17" s="67"/>
      <c r="W17" s="67"/>
      <c r="X17" s="67"/>
      <c r="Y17" s="67"/>
      <c r="Z17" s="67"/>
      <c r="AA17" s="67"/>
      <c r="AB17" s="67"/>
      <c r="AC17" s="67"/>
      <c r="AD17" s="151"/>
    </row>
    <row r="18" spans="1:30" ht="14.1" customHeight="1">
      <c r="A18" s="71" t="s">
        <v>176</v>
      </c>
      <c r="B18" s="166"/>
      <c r="C18" s="173"/>
      <c r="D18" s="451"/>
      <c r="E18" s="451"/>
      <c r="F18" s="451"/>
      <c r="G18" s="451"/>
      <c r="H18" s="451"/>
      <c r="I18" s="451"/>
      <c r="J18" s="451"/>
      <c r="K18" s="451"/>
      <c r="L18" s="451"/>
      <c r="M18" s="67"/>
      <c r="N18" s="67"/>
      <c r="O18" s="67"/>
      <c r="P18" s="67"/>
      <c r="Q18" s="83" t="str">
        <f>'V2 - District Heating'!P18</f>
        <v>Útrokning</v>
      </c>
      <c r="R18" s="94"/>
      <c r="S18" s="94"/>
      <c r="T18" s="94"/>
      <c r="U18" s="67"/>
      <c r="V18" s="67"/>
      <c r="W18" s="67"/>
      <c r="X18" s="67"/>
      <c r="Y18" s="67"/>
      <c r="Z18" s="67"/>
      <c r="AA18" s="67"/>
      <c r="AB18" s="67"/>
      <c r="AC18" s="67"/>
      <c r="AD18" s="151"/>
    </row>
    <row r="19" spans="1:30" ht="120" customHeight="1">
      <c r="A19" s="71" t="s">
        <v>177</v>
      </c>
      <c r="B19" s="166"/>
      <c r="C19" s="173"/>
      <c r="D19" s="451"/>
      <c r="E19" s="451"/>
      <c r="F19" s="451"/>
      <c r="G19" s="451"/>
      <c r="H19" s="451"/>
      <c r="I19" s="451"/>
      <c r="J19" s="451"/>
      <c r="K19" s="451"/>
      <c r="L19" s="451"/>
      <c r="M19" s="67"/>
      <c r="N19" s="67"/>
      <c r="O19" s="67"/>
      <c r="P19" s="152"/>
      <c r="Q19" s="94"/>
      <c r="R19" s="122"/>
      <c r="S19" s="94"/>
      <c r="T19" s="94"/>
      <c r="U19" s="67"/>
      <c r="V19" s="67"/>
      <c r="W19" s="67"/>
      <c r="X19" s="67"/>
      <c r="Y19" s="67"/>
      <c r="Z19" s="67"/>
      <c r="AA19" s="67"/>
      <c r="AB19" s="67"/>
      <c r="AC19" s="67"/>
      <c r="AD19" s="151"/>
    </row>
    <row r="20" spans="1:30" ht="120" customHeight="1">
      <c r="A20" s="71" t="s">
        <v>178</v>
      </c>
      <c r="B20" s="166"/>
      <c r="C20" s="173"/>
      <c r="D20" s="451"/>
      <c r="E20" s="451"/>
      <c r="F20" s="451"/>
      <c r="G20" s="451"/>
      <c r="H20" s="451"/>
      <c r="I20" s="451"/>
      <c r="J20" s="451"/>
      <c r="K20" s="451"/>
      <c r="L20" s="451"/>
      <c r="M20" s="67"/>
      <c r="N20" s="67"/>
      <c r="O20" s="67"/>
      <c r="P20" s="67"/>
      <c r="Q20" s="67"/>
      <c r="R20" s="67"/>
      <c r="S20" s="94"/>
      <c r="T20" s="67"/>
      <c r="U20" s="67"/>
      <c r="V20" s="67"/>
      <c r="W20" s="67"/>
      <c r="X20" s="67"/>
      <c r="Y20" s="67"/>
      <c r="Z20" s="67"/>
      <c r="AA20" s="67"/>
      <c r="AB20" s="67"/>
      <c r="AC20" s="67"/>
      <c r="AD20" s="151"/>
    </row>
    <row r="21" spans="1:30" ht="15.6" customHeight="1">
      <c r="A21" s="71" t="s">
        <v>179</v>
      </c>
      <c r="B21" s="166"/>
      <c r="C21" s="173"/>
      <c r="D21" s="67"/>
      <c r="E21" s="67"/>
      <c r="F21" s="67"/>
      <c r="G21" s="67"/>
      <c r="H21" s="67" t="s">
        <v>174</v>
      </c>
      <c r="I21" s="67"/>
      <c r="J21" s="67"/>
      <c r="K21" s="67"/>
      <c r="L21" s="67"/>
      <c r="M21" s="67"/>
      <c r="N21" s="67"/>
      <c r="O21" s="67"/>
      <c r="P21" s="67"/>
      <c r="Q21" s="67"/>
      <c r="R21" s="67"/>
      <c r="S21" s="67"/>
      <c r="T21" s="67"/>
      <c r="U21" s="67"/>
      <c r="AC21" s="67"/>
      <c r="AD21" s="151"/>
    </row>
    <row r="22" spans="1:30" ht="30" customHeight="1">
      <c r="A22" s="71" t="s">
        <v>180</v>
      </c>
      <c r="B22" s="166" t="s">
        <v>174</v>
      </c>
      <c r="C22" s="173"/>
      <c r="D22" s="438" t="str">
        <f>IF($A$2="English",_xlfn.XLOOKUP($A$10,Descriptions!$A:$A,Descriptions!$B:$B),_xlfn.XLOOKUP($A$10,Descriptions!$A:$A,Descriptions!$C:$C))</f>
        <v>Dømi</v>
      </c>
      <c r="E22" s="438"/>
      <c r="F22" s="438"/>
      <c r="G22" s="438"/>
      <c r="H22" s="438"/>
      <c r="I22" s="438"/>
      <c r="J22" s="438"/>
      <c r="K22" s="438"/>
      <c r="L22" s="438"/>
      <c r="M22" s="438"/>
      <c r="N22" s="438"/>
      <c r="O22" s="438"/>
      <c r="P22" s="438"/>
      <c r="Q22" s="438"/>
      <c r="R22" s="438"/>
      <c r="S22" s="438"/>
      <c r="T22" s="438"/>
      <c r="U22" s="67"/>
      <c r="V22" s="437" t="str">
        <f>IF($A$2="English",_xlfn.XLOOKUP($A$27,Descriptions!$A:$A,Descriptions!$B:$B),_xlfn.XLOOKUP($A$27,Descriptions!$A:$A,Descriptions!$C:$C))</f>
        <v>Vav 3 - Virksemi tengt at brennievni og orku</v>
      </c>
      <c r="W22" s="437"/>
      <c r="X22" s="437"/>
      <c r="Y22" s="437"/>
      <c r="Z22" s="437"/>
      <c r="AA22" s="437"/>
      <c r="AB22" s="437"/>
      <c r="AC22" s="67"/>
      <c r="AD22" s="151"/>
    </row>
    <row r="23" spans="1:30" ht="30" customHeight="1">
      <c r="A23" s="71" t="s">
        <v>181</v>
      </c>
      <c r="B23" s="166"/>
      <c r="C23" s="173"/>
      <c r="D23" s="331" t="str">
        <f>IF($A$2="English",_xlfn.XLOOKUP($A$11,Descriptions!$A:$A,Descriptions!$B:$B),_xlfn.XLOOKUP($A$11,Descriptions!$A:$A,Descriptions!$C:$C))</f>
        <v>Fasilitetur/Ogn og staðseting</v>
      </c>
      <c r="E23" s="331" t="str">
        <f>IF($A$2="English",_xlfn.XLOOKUP($A$12,Descriptions!$A:$A,Descriptions!$B:$B),_xlfn.XLOOKUP($A$12,Descriptions!$A:$A,Descriptions!$C:$C))</f>
        <v>Virksemi</v>
      </c>
      <c r="F23" s="331" t="str">
        <f>IF($A$2="English",_xlfn.XLOOKUP($A$7,Descriptions!$A:$A,Descriptions!$B:$B),_xlfn.XLOOKUP($A$7,Descriptions!$A:$A,Descriptions!$C:$C))</f>
        <v>Slag av dátum</v>
      </c>
      <c r="G23" s="331" t="str">
        <f>IF($A$2="English",_xlfn.XLOOKUP($A$8,Descriptions!$A:$A,Descriptions!$B:$B),_xlfn.XLOOKUP($A$8,Descriptions!$A:$A,Descriptions!$C:$C))</f>
        <v>Flutningsháttur</v>
      </c>
      <c r="H23" s="331" t="str">
        <f>IF($A$2="English",_xlfn.XLOOKUP($A$30,Descriptions!$A:$A,Descriptions!$B:$B),_xlfn.XLOOKUP($A$30,Descriptions!$A:$A,Descriptions!$C:$C))</f>
        <v>Útlátskelda</v>
      </c>
      <c r="I23" s="331" t="s">
        <v>185</v>
      </c>
      <c r="J23" s="331" t="str">
        <f>IF($A$2="English",_xlfn.XLOOKUP($A$16,Descriptions!$A:$A,Descriptions!$B:$B),_xlfn.XLOOKUP($A$16,Descriptions!$A:$A,Descriptions!$C:$C))</f>
        <v>Nøgd</v>
      </c>
      <c r="K23" s="331" t="str">
        <f>IF($A$2="English",_xlfn.XLOOKUP($A$17,Descriptions!$A:$A,Descriptions!$B:$B),_xlfn.XLOOKUP($A$17,Descriptions!$A:$A,Descriptions!$C:$C))</f>
        <v>Eindir</v>
      </c>
      <c r="L23" s="331" t="str">
        <f>IF($A$2="English",_xlfn.XLOOKUP($A$9,Descriptions!$A:$A,Descriptions!$B:$B),_xlfn.XLOOKUP($A$9,Descriptions!$A:$A,Descriptions!$C:$C))</f>
        <v>Um tons.km: Flutt tons</v>
      </c>
      <c r="M23" s="331" t="s">
        <v>186</v>
      </c>
      <c r="N23" s="331" t="s">
        <v>187</v>
      </c>
      <c r="O23" s="331" t="s">
        <v>188</v>
      </c>
      <c r="P23" s="331" t="str">
        <f>IF($A$2="English",_xlfn.XLOOKUP($A$21,Descriptions!$A:$A,Descriptions!$B:$B),_xlfn.XLOOKUP($A$21,Descriptions!$A:$A,Descriptions!$C:$C))</f>
        <v>Útlátsfaktorur</v>
      </c>
      <c r="Q23" s="331" t="str">
        <f>IF($A$2="English",_xlfn.XLOOKUP($A$22,Descriptions!$A:$A,Descriptions!$B:$B),_xlfn.XLOOKUP($A$22,Descriptions!$A:$A,Descriptions!$C:$C))</f>
        <v>Útlátsfaktorur Eind</v>
      </c>
      <c r="R23" s="331" t="str">
        <f>IF($A$2="English",_xlfn.XLOOKUP($A$23,Descriptions!$A:$A,Descriptions!$B:$B),_xlfn.XLOOKUP($A$23,Descriptions!$A:$A,Descriptions!$C:$C))</f>
        <v>Útlát av vakstrarhúsgassi (tons av CO2e)</v>
      </c>
      <c r="S23" s="331" t="str">
        <f>IF($A$2="English",_xlfn.XLOOKUP($A$24,Descriptions!$A:$A,Descriptions!$B:$B),_xlfn.XLOOKUP($A$24,Descriptions!$A:$A,Descriptions!$C:$C))</f>
        <v>Kelda Útlátsfaktorur</v>
      </c>
      <c r="T23" s="331" t="str">
        <f>IF($A$2="English",_xlfn.XLOOKUP($A$25,Descriptions!$A:$A,Descriptions!$B:$B),_xlfn.XLOOKUP($A$25,Descriptions!$A:$A,Descriptions!$C:$C))</f>
        <v>Viðmerking frá brúkara</v>
      </c>
      <c r="U23" s="67"/>
      <c r="V23" s="331" t="s">
        <v>186</v>
      </c>
      <c r="W23" s="331" t="s">
        <v>187</v>
      </c>
      <c r="X23" s="331" t="s">
        <v>188</v>
      </c>
      <c r="Y23" s="331" t="str">
        <f>IF($A$2="English",_xlfn.XLOOKUP($A$21,Descriptions!$A:$A,Descriptions!$B:$B),_xlfn.XLOOKUP($A$8,Descriptions!$A:$A,Descriptions!$C:$C))</f>
        <v>Flutningsháttur</v>
      </c>
      <c r="Z23" s="331" t="str">
        <f>IF($A$2="English",_xlfn.XLOOKUP($A$22,Descriptions!$A:$A,Descriptions!$B:$B),_xlfn.XLOOKUP($A$22,Descriptions!$A:$A,Descriptions!$C:$C))</f>
        <v>Útlátsfaktorur Eind</v>
      </c>
      <c r="AA23" s="331" t="str">
        <f>IF($A$2="English",_xlfn.XLOOKUP($A$23,Descriptions!$A:$A,Descriptions!$B:$B),_xlfn.XLOOKUP($A$23,Descriptions!$A:$A,Descriptions!$C:$C))</f>
        <v>Útlát av vakstrarhúsgassi (tons av CO2e)</v>
      </c>
      <c r="AB23" s="331" t="str">
        <f>IF($A$2="English",_xlfn.XLOOKUP($A$24,Descriptions!$A:$A,Descriptions!$B:$B),_xlfn.XLOOKUP($A$24,Descriptions!$A:$A,Descriptions!$C:$C))</f>
        <v>Kelda Útlátsfaktorur</v>
      </c>
      <c r="AC23" s="67"/>
      <c r="AD23" s="151"/>
    </row>
    <row r="24" spans="1:30">
      <c r="A24" s="71" t="s">
        <v>182</v>
      </c>
      <c r="B24" s="166"/>
      <c r="C24" s="173"/>
      <c r="D24" s="95" t="s">
        <v>200</v>
      </c>
      <c r="E24" s="96" t="s">
        <v>245</v>
      </c>
      <c r="F24" s="95" t="s">
        <v>246</v>
      </c>
      <c r="G24" s="95" t="s">
        <v>247</v>
      </c>
      <c r="H24" s="95" t="s">
        <v>248</v>
      </c>
      <c r="I24" s="97" t="str">
        <f>H24&amp;G24</f>
        <v>Marine Gas OilSea Navigation</v>
      </c>
      <c r="J24" s="98">
        <v>123123</v>
      </c>
      <c r="K24" s="95" t="s">
        <v>193</v>
      </c>
      <c r="L24" s="98">
        <v>1000</v>
      </c>
      <c r="M24" s="97" t="str">
        <f t="shared" ref="M24:M25" si="0">IF(K24="","",K24)</f>
        <v>Litre</v>
      </c>
      <c r="N24" s="303" t="str" cm="1">
        <f t="array" ref="N24">IF(K24="","",IF(F24="Distance",_xlfn.XLOOKUP(I24&amp;K24,'Emission Factors'!$M$196:$M$352&amp;'Emission Factors'!$U$196:$U$352,'Emission Factors'!$U$196:$U$352),IF(F24="Fuel Use",_xlfn.XLOOKUP(I24,'Emission Factors'!$M$196:$M$352,'Emission Factors'!$U$196:$U$352))))</f>
        <v>kWh</v>
      </c>
      <c r="O24" s="305">
        <f>IF(F24="Distance",1,IF(K24="","",IF(OR($K24="Litre",$K24="Tonne"),_xlfn.XLOOKUP(H24&amp;N24&amp;M24,Conversions!$E$20:$E$104,Conversions!$F$20:$F$104),INDEX(Conversions!$C$4:$I$10,MATCH('V3 - Upstream Transport'!$M24,Conversions!$B$4:$B$10,0),MATCH('V3 - Upstream Transport'!$N24,Conversions!$C$3:$I$3,0)))))</f>
        <v>10.742752080510938</v>
      </c>
      <c r="P24" s="309" cm="1">
        <f t="array" ref="P24">IF(F24="Distance",_xlfn.XLOOKUP(I24&amp;K24,'Emission Factors'!$M:$M&amp;'Emission Factors'!$U:$U,'Emission Factors'!$T:$T),IF(K24="","",_xlfn.XLOOKUP(I24,'Emission Factors'!$M$196:$M$352,'Emission Factors'!$T$196:$T$352)*O24))</f>
        <v>2.7931155409328441</v>
      </c>
      <c r="Q24" s="305" t="str">
        <f t="shared" ref="Q24:Q25" si="1">IF(K24="","","kgCO2e/"&amp;M24)</f>
        <v>kgCO2e/Litre</v>
      </c>
      <c r="R24" s="129">
        <f>IF(ISBLANK(J24)=TRUE,"",IF(ISBLANK(P24)=TRUE,"",IF(K24="tonne.km",J24*L24*P24/1000,(J24*P24)/1000)))</f>
        <v>343.89676474627458</v>
      </c>
      <c r="S24" s="303" t="str">
        <f>IF(K24="","",_xlfn.XLOOKUP(I24,'Emission Factors'!$M:$M,'Emission Factors'!$W:$W))</f>
        <v>UK Government (BEIS) Greenhouse gas reporting: conversion factors (2023) - Fuels - Liquid fuels - Marine gas oil</v>
      </c>
      <c r="T24" s="174"/>
      <c r="U24" s="67"/>
      <c r="V24" s="303" t="str">
        <f>M24</f>
        <v>Litre</v>
      </c>
      <c r="W24" s="303" t="str" cm="1">
        <f t="array" ref="W24">IF(K24="","",IF(F24="Distance",_xlfn.XLOOKUP(I24&amp;K24,'Emission Factors'!$M$432:$M$787&amp;'Emission Factors'!$U$432:$U$787,'Emission Factors'!$U$432:$U$787),IF(F24="Fuel Use",_xlfn.XLOOKUP(I24,'Emission Factors'!$M$432:$M$787,'Emission Factors'!$U$432:$U$787))))</f>
        <v>kWh</v>
      </c>
      <c r="X24" s="332">
        <f>IF(F24="Distance",1,IF(K24="","",IF(OR($K24="Litre",$K24="Tonne"),_xlfn.XLOOKUP(H24&amp;N24&amp;M24,Conversions!$E$20:$E$104,Conversions!$F$20:$F$104),INDEX(Conversions!$C$4:$I$10,MATCH('V3 - Upstream Transport'!$M24,Conversions!$B$4:$B$10,0),MATCH('V3 - Upstream Transport'!$N24,Conversions!$C$3:$I$3,0)))))</f>
        <v>10.742752080510938</v>
      </c>
      <c r="Y24" s="309">
        <f>IF(K24="","",_xlfn.XLOOKUP(I24,'Emission Factors'!$M$432:$M$787,'Emission Factors'!$S$432:$S$787)*X24)</f>
        <v>0.63253324250048404</v>
      </c>
      <c r="Z24" s="305" t="str">
        <f>IF(K24="","","kgCO2e/"&amp;V24)</f>
        <v>kgCO2e/Litre</v>
      </c>
      <c r="AA24" s="333">
        <f t="shared" ref="AA24:AA25" si="2">IF(ISBLANK(J24)=TRUE,"",IF(ISBLANK(Y24)=TRUE,"",IF(K24="tonne.km",J24*L24*Y24/1000,(J24*Y24)/1000)))</f>
        <v>77.879390416387096</v>
      </c>
      <c r="AB24" s="303" t="str">
        <f>IF(L24="","",_xlfn.XLOOKUP(I24,'Emission Factors'!$M432:$M787,'Emission Factors'!$W432:$W787))</f>
        <v xml:space="preserve">UK Government (BEIS) Greenhouse gas reporting: conversion factors (2023) - WTT - Fuels - Liquid fuels - Marine Gas Oil </v>
      </c>
      <c r="AC24" s="67"/>
      <c r="AD24" s="151"/>
    </row>
    <row r="25" spans="1:30">
      <c r="A25" s="71" t="s">
        <v>183</v>
      </c>
      <c r="B25" s="166"/>
      <c r="C25" s="173"/>
      <c r="D25" s="95" t="s">
        <v>200</v>
      </c>
      <c r="E25" s="157" t="s">
        <v>245</v>
      </c>
      <c r="F25" s="95" t="s">
        <v>249</v>
      </c>
      <c r="G25" s="95" t="s">
        <v>206</v>
      </c>
      <c r="H25" s="95" t="s">
        <v>250</v>
      </c>
      <c r="I25" s="97" t="str">
        <f>H25&amp;G25</f>
        <v>Diesel - All rigids - Average LadenHeavy duty vehicles</v>
      </c>
      <c r="J25" s="98">
        <v>50</v>
      </c>
      <c r="K25" s="95" t="s">
        <v>251</v>
      </c>
      <c r="L25" s="98">
        <v>10</v>
      </c>
      <c r="M25" s="97" t="str">
        <f t="shared" si="0"/>
        <v>tonne.km</v>
      </c>
      <c r="N25" s="303" t="str" cm="1">
        <f t="array" ref="N25">IF(K25="","",IF(F25="Distance",_xlfn.XLOOKUP(I25&amp;K25,'Emission Factors'!$M$196:$M$352&amp;'Emission Factors'!$U$196:$U$352,'Emission Factors'!$U$196:$U$352),IF(F25="Fuel Use",_xlfn.XLOOKUP(I25,'Emission Factors'!$M$196:$M$352,'Emission Factors'!$U$196:$U$352))))</f>
        <v>tonne.km</v>
      </c>
      <c r="O25" s="305">
        <f>IF(F25="Distance",1,IF(K25="","",IF(OR($K25="Litre",$K25="Tonne"),_xlfn.XLOOKUP(H25&amp;N25&amp;M25,Conversions!$E$20:$E$104,Conversions!$F$20:$F$104),INDEX(Conversions!$C$4:$I$10,MATCH('V3 - Upstream Transport'!$M25,Conversions!$B$4:$B$10,0),MATCH('V3 - Upstream Transport'!$N25,Conversions!$C$3:$I$3,0)))))</f>
        <v>1</v>
      </c>
      <c r="P25" s="309" cm="1">
        <f t="array" ref="P25">IF(F25="Distance",_xlfn.XLOOKUP(I25&amp;K25,'Emission Factors'!$M:$M&amp;'Emission Factors'!$U:$U,'Emission Factors'!$T:$T),IF(K25="","",_xlfn.XLOOKUP(I25,'Emission Factors'!$M$196:$M$352,'Emission Factors'!$T$196:$T$352)*O25))</f>
        <v>0.25549593288590605</v>
      </c>
      <c r="Q25" s="305" t="str">
        <f t="shared" si="1"/>
        <v>kgCO2e/tonne.km</v>
      </c>
      <c r="R25" s="129">
        <f t="shared" ref="R25" si="3">IF(ISBLANK(J25)=TRUE,"",IF(ISBLANK(P25)=TRUE,"",IF(K25="tonne.km",J25*L25*P25/1000,(J25*P25)/1000)))</f>
        <v>0.12774796644295303</v>
      </c>
      <c r="S25" s="303" t="str">
        <f>IF(K25="","",_xlfn.XLOOKUP(I25,'Emission Factors'!$M:$M,'Emission Factors'!$W:$W))</f>
        <v>UK Government (BEIS) Greenhouse gas reporting: conversion factors (2023) - Freighting goods - HGV (all diesel) - All rigids - Average Laden</v>
      </c>
      <c r="T25" s="157"/>
      <c r="U25" s="67"/>
      <c r="V25" s="303" t="str">
        <f t="shared" ref="V25" si="4">M25</f>
        <v>tonne.km</v>
      </c>
      <c r="W25" s="303" t="str" cm="1">
        <f t="array" ref="W25">IF(K25="","",IF(F25="Distance",_xlfn.XLOOKUP(I25&amp;K25,'Emission Factors'!$M$432:$M$787&amp;'Emission Factors'!$U$432:$U$787,'Emission Factors'!$U$432:$U$787),IF(F25="Fuel Use",_xlfn.XLOOKUP(I25,'Emission Factors'!$M$432:$M$787,'Emission Factors'!$U$432:$U$787))))</f>
        <v>tonne.km</v>
      </c>
      <c r="X25" s="332">
        <f>IF(F25="Distance",1,IF(K25="","",IF(OR($K25="Litre",$K25="Tonne"),_xlfn.XLOOKUP(H25&amp;N25&amp;M25,Conversions!$E$20:$E$104,Conversions!$F$20:$F$104),INDEX(Conversions!$C$4:$I$10,MATCH('V3 - Upstream Transport'!$M25,Conversions!$B$4:$B$10,0),MATCH('V3 - Upstream Transport'!$N25,Conversions!$C$3:$I$3,0)))))</f>
        <v>1</v>
      </c>
      <c r="Y25" s="309">
        <f>IF(K25="","",_xlfn.XLOOKUP(I25,'Emission Factors'!$M$432:$M$787,'Emission Factors'!$S$432:$S$787)*X25)</f>
        <v>5.0410000000000003E-2</v>
      </c>
      <c r="Z25" s="305" t="str">
        <f>IF(K25="","","kgCO2e/"&amp;V25)</f>
        <v>kgCO2e/tonne.km</v>
      </c>
      <c r="AA25" s="333">
        <f t="shared" si="2"/>
        <v>2.5205000000000002E-2</v>
      </c>
      <c r="AB25" s="303" t="str">
        <f>IF(L25="","",_xlfn.XLOOKUP(I25,'Emission Factors'!$M433:$M788,'Emission Factors'!$W433:$W788))</f>
        <v>UK Government (BEIS) Greenhouse gas reporting: conversion factors (2023) - WTT - Delivery vehs and Freight - WTT - HGV (all diesel) - Diesel - All rigids - Average Laden</v>
      </c>
      <c r="AC25" s="67"/>
      <c r="AD25" s="151"/>
    </row>
    <row r="26" spans="1:30">
      <c r="A26" s="71" t="s">
        <v>199</v>
      </c>
      <c r="B26" s="166"/>
      <c r="C26" s="173"/>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1"/>
    </row>
    <row r="27" spans="1:30" ht="15.6" customHeight="1">
      <c r="A27" s="71" t="s">
        <v>184</v>
      </c>
      <c r="B27" s="166"/>
      <c r="C27" s="173"/>
      <c r="D27" s="336" t="str">
        <f>'V2 - District Heating'!D27</f>
        <v>Fyritøka</v>
      </c>
      <c r="E27" s="10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1"/>
    </row>
    <row r="28" spans="1:30" ht="17.25" customHeight="1">
      <c r="A28" s="71" t="s">
        <v>146</v>
      </c>
      <c r="B28" s="166"/>
      <c r="C28" s="173"/>
      <c r="D28" s="67"/>
      <c r="E28" s="67"/>
      <c r="F28" s="67"/>
      <c r="G28" s="67"/>
      <c r="H28" s="67"/>
      <c r="I28" s="67"/>
      <c r="J28" s="67"/>
      <c r="K28" s="67"/>
      <c r="L28" s="67"/>
      <c r="M28" s="67"/>
      <c r="N28" s="67"/>
      <c r="O28" s="67"/>
      <c r="P28" s="67"/>
      <c r="Q28" s="67"/>
      <c r="R28" s="94"/>
      <c r="S28" s="67"/>
      <c r="T28" s="67"/>
      <c r="U28" s="67"/>
      <c r="V28" s="67"/>
      <c r="W28" s="67"/>
      <c r="X28" s="67"/>
      <c r="Y28" s="67"/>
      <c r="Z28" s="67"/>
      <c r="AA28" s="67"/>
      <c r="AB28" s="67"/>
      <c r="AC28" s="67"/>
      <c r="AD28" s="151"/>
    </row>
    <row r="29" spans="1:30" ht="30" customHeight="1">
      <c r="A29" s="71" t="s">
        <v>115</v>
      </c>
      <c r="B29" s="166"/>
      <c r="C29" s="173"/>
      <c r="D29" s="437" t="str">
        <f>IF($A$2="English",_xlfn.XLOOKUP($A$29,Descriptions!$A:$A,Descriptions!$B:$B),_xlfn.XLOOKUP($A$29,Descriptions!$A:$A,Descriptions!$C:$C))</f>
        <v>Talva við útlátsútrokningum</v>
      </c>
      <c r="E29" s="437"/>
      <c r="F29" s="437"/>
      <c r="G29" s="437"/>
      <c r="H29" s="437"/>
      <c r="I29" s="437"/>
      <c r="J29" s="437"/>
      <c r="K29" s="437"/>
      <c r="L29" s="437"/>
      <c r="M29" s="437"/>
      <c r="N29" s="437"/>
      <c r="O29" s="437"/>
      <c r="P29" s="437"/>
      <c r="Q29" s="437"/>
      <c r="R29" s="437"/>
      <c r="S29" s="437"/>
      <c r="T29" s="437"/>
      <c r="U29" s="67"/>
      <c r="V29" s="67"/>
      <c r="W29" s="67"/>
      <c r="X29" s="67"/>
      <c r="Y29" s="67"/>
      <c r="Z29" s="67"/>
      <c r="AA29" s="67"/>
      <c r="AB29" s="67"/>
      <c r="AC29" s="67"/>
      <c r="AD29" s="151"/>
    </row>
    <row r="30" spans="1:30" ht="30" customHeight="1">
      <c r="A30" s="71" t="s">
        <v>252</v>
      </c>
      <c r="B30" s="166"/>
      <c r="C30" s="173"/>
      <c r="D30" s="331" t="str">
        <f>D23</f>
        <v>Fasilitetur/Ogn og staðseting</v>
      </c>
      <c r="E30" s="331" t="str">
        <f t="shared" ref="E30:T30" si="5">E23</f>
        <v>Virksemi</v>
      </c>
      <c r="F30" s="331" t="str">
        <f>F23</f>
        <v>Slag av dátum</v>
      </c>
      <c r="G30" s="331" t="str">
        <f t="shared" si="5"/>
        <v>Flutningsháttur</v>
      </c>
      <c r="H30" s="331" t="str">
        <f t="shared" si="5"/>
        <v>Útlátskelda</v>
      </c>
      <c r="I30" s="331" t="str">
        <f t="shared" si="5"/>
        <v>Concat</v>
      </c>
      <c r="J30" s="331" t="str">
        <f t="shared" si="5"/>
        <v>Nøgd</v>
      </c>
      <c r="K30" s="331" t="str">
        <f t="shared" si="5"/>
        <v>Eindir</v>
      </c>
      <c r="L30" s="331" t="str">
        <f t="shared" si="5"/>
        <v>Um tons.km: Flutt tons</v>
      </c>
      <c r="M30" s="331" t="str">
        <f t="shared" si="5"/>
        <v>Input Unit</v>
      </c>
      <c r="N30" s="331" t="str">
        <f t="shared" si="5"/>
        <v>Source Emission Factor Unit</v>
      </c>
      <c r="O30" s="331" t="str">
        <f t="shared" si="5"/>
        <v>Conversion Factor</v>
      </c>
      <c r="P30" s="331" t="str">
        <f t="shared" si="5"/>
        <v>Útlátsfaktorur</v>
      </c>
      <c r="Q30" s="331" t="str">
        <f t="shared" si="5"/>
        <v>Útlátsfaktorur Eind</v>
      </c>
      <c r="R30" s="331" t="str">
        <f t="shared" si="5"/>
        <v>Útlát av vakstrarhúsgassi (tons av CO2e)</v>
      </c>
      <c r="S30" s="331" t="str">
        <f t="shared" si="5"/>
        <v>Kelda Útlátsfaktorur</v>
      </c>
      <c r="T30" s="331" t="str">
        <f t="shared" si="5"/>
        <v>Viðmerking frá brúkara</v>
      </c>
      <c r="U30" s="67"/>
      <c r="V30" s="331" t="str">
        <f>V23</f>
        <v>Input Unit</v>
      </c>
      <c r="W30" s="331" t="str">
        <f t="shared" ref="W30:AB30" si="6">W23</f>
        <v>Source Emission Factor Unit</v>
      </c>
      <c r="X30" s="331" t="str">
        <f t="shared" si="6"/>
        <v>Conversion Factor</v>
      </c>
      <c r="Y30" s="331" t="str">
        <f t="shared" si="6"/>
        <v>Flutningsháttur</v>
      </c>
      <c r="Z30" s="331" t="str">
        <f t="shared" si="6"/>
        <v>Útlátsfaktorur Eind</v>
      </c>
      <c r="AA30" s="331" t="str">
        <f t="shared" si="6"/>
        <v>Útlát av vakstrarhúsgassi (tons av CO2e)</v>
      </c>
      <c r="AB30" s="331" t="str">
        <f t="shared" si="6"/>
        <v>Kelda Útlátsfaktorur</v>
      </c>
      <c r="AC30" s="67"/>
      <c r="AD30" s="151"/>
    </row>
    <row r="31" spans="1:30">
      <c r="B31" s="166"/>
      <c r="C31" s="173"/>
      <c r="D31" s="123"/>
      <c r="E31" s="130"/>
      <c r="F31" s="123"/>
      <c r="G31" s="131"/>
      <c r="H31" s="131"/>
      <c r="I31" s="132" t="str">
        <f>H31&amp;G31</f>
        <v/>
      </c>
      <c r="J31" s="133"/>
      <c r="K31" s="131"/>
      <c r="L31" s="133"/>
      <c r="M31" s="108" t="str">
        <f t="shared" ref="M31:M60" si="7">IF(K31="","",K31)</f>
        <v/>
      </c>
      <c r="N31" s="306" t="str" cm="1">
        <f t="array" ref="N31">IF(K31="","",IF(F31="Distance",_xlfn.XLOOKUP(I31&amp;K31,'Emission Factors'!$M$196:$M$352&amp;'Emission Factors'!$U$196:$U$352,'Emission Factors'!$U$196:$U$352),IF(F31="Fuel Use",_xlfn.XLOOKUP(I31,'Emission Factors'!$M$196:$M$352,'Emission Factors'!$U$196:$U$352))))</f>
        <v/>
      </c>
      <c r="O31" s="311" t="str">
        <f>IF(F31="Distance",1,IF(K31="","",IF(OR($K31="Litre",$K31="Tonne"),_xlfn.XLOOKUP(H31&amp;N31&amp;M31,Conversions!$E$20:$E$104,Conversions!$F$20:$F$104),INDEX(Conversions!$C$4:$I$10,MATCH('V3 - Upstream Transport'!$M31,Conversions!$B$4:$B$10,0),MATCH('V3 - Upstream Transport'!$N31,Conversions!$C$3:$I$3,0)))))</f>
        <v/>
      </c>
      <c r="P31" s="310" t="str" cm="1">
        <f t="array" ref="P31">IF(F31="Distance",_xlfn.XLOOKUP(I31&amp;K31,'Emission Factors'!$M:$M&amp;'Emission Factors'!$U:$U,'Emission Factors'!$T:$T),IF(K31="","",_xlfn.XLOOKUP(I31,'Emission Factors'!$M$196:$M$352,'Emission Factors'!$T$196:$T$352)*O31))</f>
        <v/>
      </c>
      <c r="Q31" s="311" t="str">
        <f t="shared" ref="Q31:Q60" si="8">IF(K31="","","kgCO2e/"&amp;M31)</f>
        <v/>
      </c>
      <c r="R31" s="134" t="str">
        <f>IF(ISBLANK(J31)=TRUE,"",IF(ISBLANK(P31)=TRUE,"",IF(K31="tonne.km",J31*L31*P31/1000,(J31*P31)/1000)))</f>
        <v/>
      </c>
      <c r="S31" s="306" t="str">
        <f>IF(K31="","",_xlfn.XLOOKUP(I31,'Emission Factors'!$M:$M,'Emission Factors'!$W:$W))</f>
        <v/>
      </c>
      <c r="T31" s="135"/>
      <c r="U31" s="67"/>
      <c r="V31" s="306" t="str">
        <f>M31</f>
        <v/>
      </c>
      <c r="W31" s="306" t="str" cm="1">
        <f t="array" ref="W31">IF(K31="","",IF(F31="Distance",_xlfn.XLOOKUP(I31&amp;K31,'Emission Factors'!$M$432:$M$787&amp;'Emission Factors'!$U$432:$U$787,'Emission Factors'!$U$432:$U$787),IF(F31="Fuel Use",_xlfn.XLOOKUP(I31,'Emission Factors'!$M$432:$M$787,'Emission Factors'!$U$432:$U$787))))</f>
        <v/>
      </c>
      <c r="X31" s="334" t="str">
        <f>IF(F31="Distance",1,IF(K31="","",IF(OR($K31="Litre",$K31="Tonne"),_xlfn.XLOOKUP(H31&amp;N31&amp;M31,Conversions!$E$20:$E$104,Conversions!$F$20:$F$104),INDEX(Conversions!$C$4:$I$10,MATCH('V3 - Upstream Transport'!$M31,Conversions!$B$4:$B$10,0),MATCH('V3 - Upstream Transport'!$N31,Conversions!$C$3:$I$3,0)))))</f>
        <v/>
      </c>
      <c r="Y31" s="310" t="str">
        <f>IF(K31="","",_xlfn.XLOOKUP(I31,'Emission Factors'!$M$432:$M$787,'Emission Factors'!$S$432:$S$787)*X31)</f>
        <v/>
      </c>
      <c r="Z31" s="311" t="str">
        <f>IF(K31="","","kgCO2e/"&amp;V31)</f>
        <v/>
      </c>
      <c r="AA31" s="128" t="str">
        <f>IF(ISBLANK(J31)=TRUE,"",IF(ISBLANK(Y31)=TRUE,"",IF(K31="tonne.km",J31*L31*Y31/1000,(J31*Y31)/1000)))</f>
        <v/>
      </c>
      <c r="AB31" s="306" t="str">
        <f>IF(L31="","",_xlfn.XLOOKUP(I31,'Emission Factors'!$M439:$M794,'Emission Factors'!$W439:$W794))</f>
        <v/>
      </c>
      <c r="AC31" s="67"/>
      <c r="AD31" s="151"/>
    </row>
    <row r="32" spans="1:30">
      <c r="B32" s="166"/>
      <c r="C32" s="173"/>
      <c r="D32" s="123"/>
      <c r="E32" s="130"/>
      <c r="F32" s="123"/>
      <c r="G32" s="131"/>
      <c r="H32" s="131"/>
      <c r="I32" s="132" t="str">
        <f>H32&amp;G32</f>
        <v/>
      </c>
      <c r="J32" s="133"/>
      <c r="K32" s="131"/>
      <c r="L32" s="133"/>
      <c r="M32" s="108" t="str">
        <f t="shared" si="7"/>
        <v/>
      </c>
      <c r="N32" s="306" t="str" cm="1">
        <f t="array" ref="N32">IF(K32="","",IF(F32="Distance",_xlfn.XLOOKUP(I32&amp;K32,'Emission Factors'!$M$196:$M$352&amp;'Emission Factors'!$U$196:$U$352,'Emission Factors'!$U$196:$U$352),IF(F32="Fuel Use",_xlfn.XLOOKUP(I32,'Emission Factors'!$M$196:$M$352,'Emission Factors'!$U$196:$U$352))))</f>
        <v/>
      </c>
      <c r="O32" s="311" t="str">
        <f>IF(F32="Distance",1,IF(K32="","",IF(OR($K32="Litre",$K32="Tonne"),_xlfn.XLOOKUP(H32&amp;N32&amp;M32,Conversions!$E$20:$E$104,Conversions!$F$20:$F$104),INDEX(Conversions!$C$4:$I$10,MATCH('V3 - Upstream Transport'!$M32,Conversions!$B$4:$B$10,0),MATCH('V3 - Upstream Transport'!$N32,Conversions!$C$3:$I$3,0)))))</f>
        <v/>
      </c>
      <c r="P32" s="310" t="str" cm="1">
        <f t="array" ref="P32">IF(F32="Distance",_xlfn.XLOOKUP(I32&amp;K32,'Emission Factors'!$M:$M&amp;'Emission Factors'!$U:$U,'Emission Factors'!$T:$T),IF(K32="","",_xlfn.XLOOKUP(I32,'Emission Factors'!$M$196:$M$352,'Emission Factors'!$T$196:$T$352)*O32))</f>
        <v/>
      </c>
      <c r="Q32" s="311" t="str">
        <f t="shared" si="8"/>
        <v/>
      </c>
      <c r="R32" s="134" t="str">
        <f>IF(ISBLANK(J32)=TRUE,"",IF(ISBLANK(P32)=TRUE,"",IF(K32="tonne.km",J32*L32*P32/1000,(J32*P32)/1000)))</f>
        <v/>
      </c>
      <c r="S32" s="306" t="str">
        <f>IF(K32="","",_xlfn.XLOOKUP(I32,'Emission Factors'!$M:$M,'Emission Factors'!$W:$W))</f>
        <v/>
      </c>
      <c r="T32" s="136"/>
      <c r="U32" s="67"/>
      <c r="V32" s="306" t="str">
        <f t="shared" ref="V32:V60" si="9">M32</f>
        <v/>
      </c>
      <c r="W32" s="306" t="str" cm="1">
        <f t="array" ref="W32">IF(K32="","",IF(F32="Distance",_xlfn.XLOOKUP(I32&amp;K32,'Emission Factors'!$M$432:$M$787&amp;'Emission Factors'!$U$432:$U$787,'Emission Factors'!$U$432:$U$787),IF(F32="Fuel Use",_xlfn.XLOOKUP(I32,'Emission Factors'!$M$432:$M$787,'Emission Factors'!$U$432:$U$787))))</f>
        <v/>
      </c>
      <c r="X32" s="334" t="str">
        <f>IF(F32="Distance",1,IF(K32="","",IF(OR($K32="Litre",$K32="Tonne"),_xlfn.XLOOKUP(H32&amp;N32&amp;M32,Conversions!$E$20:$E$104,Conversions!$F$20:$F$104),INDEX(Conversions!$C$4:$I$10,MATCH('V3 - Upstream Transport'!$M32,Conversions!$B$4:$B$10,0),MATCH('V3 - Upstream Transport'!$N32,Conversions!$C$3:$I$3,0)))))</f>
        <v/>
      </c>
      <c r="Y32" s="310" t="str">
        <f>IF(K32="","",_xlfn.XLOOKUP(I32,'Emission Factors'!$M$432:$M$787,'Emission Factors'!$S$432:$S$787)*X32)</f>
        <v/>
      </c>
      <c r="Z32" s="311" t="str">
        <f t="shared" ref="Z32:Z60" si="10">IF(K32="","","kgCO2e/"&amp;V32)</f>
        <v/>
      </c>
      <c r="AA32" s="128" t="str">
        <f>IF(ISBLANK(J32)=TRUE,"",IF(ISBLANK(Y32)=TRUE,"",IF(K32="tonne.km",J32*L32*Y32/1000,(J32*Y32)/1000)))</f>
        <v/>
      </c>
      <c r="AB32" s="306" t="str">
        <f>IF(L32="","",_xlfn.XLOOKUP(I32,'Emission Factors'!$M440:$M795,'Emission Factors'!$W440:$W795))</f>
        <v/>
      </c>
      <c r="AC32" s="67"/>
      <c r="AD32" s="151"/>
    </row>
    <row r="33" spans="2:30">
      <c r="B33" s="166"/>
      <c r="C33" s="173"/>
      <c r="D33" s="123"/>
      <c r="E33" s="136"/>
      <c r="F33" s="123"/>
      <c r="G33" s="131"/>
      <c r="H33" s="131"/>
      <c r="I33" s="132" t="str">
        <f>H33&amp;G33</f>
        <v/>
      </c>
      <c r="J33" s="137"/>
      <c r="K33" s="131"/>
      <c r="L33" s="133"/>
      <c r="M33" s="108" t="str">
        <f t="shared" si="7"/>
        <v/>
      </c>
      <c r="N33" s="306" t="str" cm="1">
        <f t="array" ref="N33">IF(K33="","",IF(F33="Distance",_xlfn.XLOOKUP(I33&amp;K33,'Emission Factors'!$M$196:$M$352&amp;'Emission Factors'!$U$196:$U$352,'Emission Factors'!$U$196:$U$352),IF(F33="Fuel Use",_xlfn.XLOOKUP(I33,'Emission Factors'!$M$196:$M$352,'Emission Factors'!$U$196:$U$352))))</f>
        <v/>
      </c>
      <c r="O33" s="311" t="str">
        <f>IF(F33="Distance",1,IF(K33="","",IF(OR($K33="Litre",$K33="Tonne"),_xlfn.XLOOKUP(H33&amp;N33&amp;M33,Conversions!$E$20:$E$104,Conversions!$F$20:$F$104),INDEX(Conversions!$C$4:$I$10,MATCH('V3 - Upstream Transport'!$M33,Conversions!$B$4:$B$10,0),MATCH('V3 - Upstream Transport'!$N33,Conversions!$C$3:$I$3,0)))))</f>
        <v/>
      </c>
      <c r="P33" s="310" t="str" cm="1">
        <f t="array" ref="P33">IF(F33="Distance",_xlfn.XLOOKUP(I33&amp;K33,'Emission Factors'!$M:$M&amp;'Emission Factors'!$U:$U,'Emission Factors'!$T:$T),IF(K33="","",_xlfn.XLOOKUP(I33,'Emission Factors'!$M$196:$M$352,'Emission Factors'!$T$196:$T$352)*O33))</f>
        <v/>
      </c>
      <c r="Q33" s="311" t="str">
        <f t="shared" si="8"/>
        <v/>
      </c>
      <c r="R33" s="134" t="str">
        <f t="shared" ref="R33:R60" si="11">IF(ISBLANK(J33)=TRUE,"",IF(ISBLANK(P33)=TRUE,"",IF(K33="tonne.km",J33*L33*P33/1000,(J33*P33)/1000)))</f>
        <v/>
      </c>
      <c r="S33" s="306" t="str">
        <f>IF(K33="","",_xlfn.XLOOKUP(I33,'Emission Factors'!$M:$M,'Emission Factors'!$W:$W))</f>
        <v/>
      </c>
      <c r="T33" s="136"/>
      <c r="U33" s="67"/>
      <c r="V33" s="306" t="str">
        <f t="shared" si="9"/>
        <v/>
      </c>
      <c r="W33" s="306" t="str" cm="1">
        <f t="array" ref="W33">IF(K33="","",IF(F33="Distance",_xlfn.XLOOKUP(I33&amp;K33,'Emission Factors'!$M$432:$M$787&amp;'Emission Factors'!$U$432:$U$787,'Emission Factors'!$U$432:$U$787),IF(F33="Fuel Use",_xlfn.XLOOKUP(I33,'Emission Factors'!$M$432:$M$787,'Emission Factors'!$U$432:$U$787))))</f>
        <v/>
      </c>
      <c r="X33" s="334" t="str">
        <f>IF(F33="Distance",1,IF(K33="","",IF(OR($K33="Litre",$K33="Tonne"),_xlfn.XLOOKUP(H33&amp;N33&amp;M33,Conversions!$E$20:$E$104,Conversions!$F$20:$F$104),INDEX(Conversions!$C$4:$I$10,MATCH('V3 - Upstream Transport'!$M33,Conversions!$B$4:$B$10,0),MATCH('V3 - Upstream Transport'!$N33,Conversions!$C$3:$I$3,0)))))</f>
        <v/>
      </c>
      <c r="Y33" s="310" t="str">
        <f>IF(K33="","",_xlfn.XLOOKUP(I33,'Emission Factors'!$M$432:$M$787,'Emission Factors'!$S$432:$S$787)*X33)</f>
        <v/>
      </c>
      <c r="Z33" s="311" t="str">
        <f t="shared" si="10"/>
        <v/>
      </c>
      <c r="AA33" s="128" t="str">
        <f t="shared" ref="AA33:AA60" si="12">IF(ISBLANK(J33)=TRUE,"",IF(ISBLANK(Y33)=TRUE,"",IF(K33="tonne.km",J33*L33*Y33/1000,(J33*Y33)/1000)))</f>
        <v/>
      </c>
      <c r="AB33" s="306" t="str">
        <f>IF(L33="","",_xlfn.XLOOKUP(I33,'Emission Factors'!$M441:$M796,'Emission Factors'!$W441:$W796))</f>
        <v/>
      </c>
      <c r="AC33" s="67"/>
      <c r="AD33" s="151"/>
    </row>
    <row r="34" spans="2:30">
      <c r="B34" s="166"/>
      <c r="C34" s="173"/>
      <c r="D34" s="123"/>
      <c r="E34" s="136"/>
      <c r="F34" s="123"/>
      <c r="G34" s="131"/>
      <c r="H34" s="131"/>
      <c r="I34" s="132" t="str">
        <f>H34&amp;G34</f>
        <v/>
      </c>
      <c r="J34" s="137"/>
      <c r="K34" s="131"/>
      <c r="L34" s="133"/>
      <c r="M34" s="108" t="str">
        <f t="shared" si="7"/>
        <v/>
      </c>
      <c r="N34" s="306" t="str" cm="1">
        <f t="array" ref="N34">IF(K34="","",IF(F34="Distance",_xlfn.XLOOKUP(I34&amp;K34,'Emission Factors'!$M$196:$M$352&amp;'Emission Factors'!$U$196:$U$352,'Emission Factors'!$U$196:$U$352),IF(F34="Fuel Use",_xlfn.XLOOKUP(I34,'Emission Factors'!$M$196:$M$352,'Emission Factors'!$U$196:$U$352))))</f>
        <v/>
      </c>
      <c r="O34" s="311" t="str">
        <f>IF(F34="Distance",1,IF(K34="","",IF(OR($K34="Litre",$K34="Tonne"),_xlfn.XLOOKUP(H34&amp;N34&amp;M34,Conversions!$E$20:$E$104,Conversions!$F$20:$F$104),INDEX(Conversions!$C$4:$I$10,MATCH('V3 - Upstream Transport'!$M34,Conversions!$B$4:$B$10,0),MATCH('V3 - Upstream Transport'!$N34,Conversions!$C$3:$I$3,0)))))</f>
        <v/>
      </c>
      <c r="P34" s="310" t="str" cm="1">
        <f t="array" ref="P34">IF(F34="Distance",_xlfn.XLOOKUP(I34&amp;K34,'Emission Factors'!$M:$M&amp;'Emission Factors'!$U:$U,'Emission Factors'!$T:$T),IF(K34="","",_xlfn.XLOOKUP(I34,'Emission Factors'!$M$196:$M$352,'Emission Factors'!$T$196:$T$352)*O34))</f>
        <v/>
      </c>
      <c r="Q34" s="311" t="str">
        <f t="shared" si="8"/>
        <v/>
      </c>
      <c r="R34" s="134" t="str">
        <f t="shared" si="11"/>
        <v/>
      </c>
      <c r="S34" s="306" t="str">
        <f>IF(K34="","",_xlfn.XLOOKUP(I34,'Emission Factors'!$M:$M,'Emission Factors'!$W:$W))</f>
        <v/>
      </c>
      <c r="T34" s="136"/>
      <c r="U34" s="67"/>
      <c r="V34" s="306" t="str">
        <f t="shared" si="9"/>
        <v/>
      </c>
      <c r="W34" s="306" t="str" cm="1">
        <f t="array" ref="W34">IF(K34="","",IF(F34="Distance",_xlfn.XLOOKUP(I34&amp;K34,'Emission Factors'!$M$432:$M$787&amp;'Emission Factors'!$U$432:$U$787,'Emission Factors'!$U$432:$U$787),IF(F34="Fuel Use",_xlfn.XLOOKUP(I34,'Emission Factors'!$M$432:$M$787,'Emission Factors'!$U$432:$U$787))))</f>
        <v/>
      </c>
      <c r="X34" s="334" t="str">
        <f>IF(F34="Distance",1,IF(K34="","",IF(OR($K34="Litre",$K34="Tonne"),_xlfn.XLOOKUP(H34&amp;N34&amp;M34,Conversions!$E$20:$E$104,Conversions!$F$20:$F$104),INDEX(Conversions!$C$4:$I$10,MATCH('V3 - Upstream Transport'!$M34,Conversions!$B$4:$B$10,0),MATCH('V3 - Upstream Transport'!$N34,Conversions!$C$3:$I$3,0)))))</f>
        <v/>
      </c>
      <c r="Y34" s="310" t="str">
        <f>IF(K34="","",_xlfn.XLOOKUP(I34,'Emission Factors'!$M$432:$M$787,'Emission Factors'!$S$432:$S$787)*X34)</f>
        <v/>
      </c>
      <c r="Z34" s="311" t="str">
        <f t="shared" si="10"/>
        <v/>
      </c>
      <c r="AA34" s="128" t="str">
        <f t="shared" si="12"/>
        <v/>
      </c>
      <c r="AB34" s="306" t="str">
        <f>IF(L34="","",_xlfn.XLOOKUP(I34,'Emission Factors'!$M442:$M797,'Emission Factors'!$W442:$W797))</f>
        <v/>
      </c>
      <c r="AC34" s="67"/>
      <c r="AD34" s="151"/>
    </row>
    <row r="35" spans="2:30">
      <c r="B35" s="166"/>
      <c r="C35" s="173"/>
      <c r="D35" s="123"/>
      <c r="E35" s="138"/>
      <c r="F35" s="123"/>
      <c r="G35" s="131"/>
      <c r="H35" s="131"/>
      <c r="I35" s="132" t="str">
        <f>H35&amp;G35</f>
        <v/>
      </c>
      <c r="J35" s="137"/>
      <c r="K35" s="131"/>
      <c r="L35" s="133"/>
      <c r="M35" s="108" t="str">
        <f t="shared" si="7"/>
        <v/>
      </c>
      <c r="N35" s="306" t="str" cm="1">
        <f t="array" ref="N35">IF(K35="","",IF(F35="Distance",_xlfn.XLOOKUP(I35&amp;K35,'Emission Factors'!$M$196:$M$352&amp;'Emission Factors'!$U$196:$U$352,'Emission Factors'!$U$196:$U$352),IF(F35="Fuel Use",_xlfn.XLOOKUP(I35,'Emission Factors'!$M$196:$M$352,'Emission Factors'!$U$196:$U$352))))</f>
        <v/>
      </c>
      <c r="O35" s="311" t="str">
        <f>IF(F35="Distance",1,IF(K35="","",IF(OR($K35="Litre",$K35="Tonne"),_xlfn.XLOOKUP(H35&amp;N35&amp;M35,Conversions!$E$20:$E$104,Conversions!$F$20:$F$104),INDEX(Conversions!$C$4:$I$10,MATCH('V3 - Upstream Transport'!$M35,Conversions!$B$4:$B$10,0),MATCH('V3 - Upstream Transport'!$N35,Conversions!$C$3:$I$3,0)))))</f>
        <v/>
      </c>
      <c r="P35" s="310" t="str" cm="1">
        <f t="array" ref="P35">IF(F35="Distance",_xlfn.XLOOKUP(I35&amp;K35,'Emission Factors'!$M:$M&amp;'Emission Factors'!$U:$U,'Emission Factors'!$T:$T),IF(K35="","",_xlfn.XLOOKUP(I35,'Emission Factors'!$M$196:$M$352,'Emission Factors'!$T$196:$T$352)*O35))</f>
        <v/>
      </c>
      <c r="Q35" s="311" t="str">
        <f t="shared" si="8"/>
        <v/>
      </c>
      <c r="R35" s="134" t="str">
        <f t="shared" si="11"/>
        <v/>
      </c>
      <c r="S35" s="306" t="str">
        <f>IF(K35="","",_xlfn.XLOOKUP(I35,'Emission Factors'!$M:$M,'Emission Factors'!$W:$W))</f>
        <v/>
      </c>
      <c r="T35" s="136"/>
      <c r="U35" s="67"/>
      <c r="V35" s="306" t="str">
        <f t="shared" si="9"/>
        <v/>
      </c>
      <c r="W35" s="306" t="str" cm="1">
        <f t="array" ref="W35">IF(K35="","",IF(F35="Distance",_xlfn.XLOOKUP(I35&amp;K35,'Emission Factors'!$M$432:$M$787&amp;'Emission Factors'!$U$432:$U$787,'Emission Factors'!$U$432:$U$787),IF(F35="Fuel Use",_xlfn.XLOOKUP(I35,'Emission Factors'!$M$432:$M$787,'Emission Factors'!$U$432:$U$787))))</f>
        <v/>
      </c>
      <c r="X35" s="334" t="str">
        <f>IF(F35="Distance",1,IF(K35="","",IF(OR($K35="Litre",$K35="Tonne"),_xlfn.XLOOKUP(H35&amp;N35&amp;M35,Conversions!$E$20:$E$104,Conversions!$F$20:$F$104),INDEX(Conversions!$C$4:$I$10,MATCH('V3 - Upstream Transport'!$M35,Conversions!$B$4:$B$10,0),MATCH('V3 - Upstream Transport'!$N35,Conversions!$C$3:$I$3,0)))))</f>
        <v/>
      </c>
      <c r="Y35" s="310" t="str">
        <f>IF(K35="","",_xlfn.XLOOKUP(I35,'Emission Factors'!$M$432:$M$787,'Emission Factors'!$S$432:$S$787)*X35)</f>
        <v/>
      </c>
      <c r="Z35" s="311" t="str">
        <f t="shared" si="10"/>
        <v/>
      </c>
      <c r="AA35" s="128" t="str">
        <f t="shared" si="12"/>
        <v/>
      </c>
      <c r="AB35" s="306" t="str">
        <f>IF(L35="","",_xlfn.XLOOKUP(I35,'Emission Factors'!$M443:$M798,'Emission Factors'!$W443:$W798))</f>
        <v/>
      </c>
      <c r="AC35" s="67"/>
      <c r="AD35" s="151"/>
    </row>
    <row r="36" spans="2:30">
      <c r="B36" s="166"/>
      <c r="C36" s="173"/>
      <c r="D36" s="123"/>
      <c r="E36" s="136"/>
      <c r="F36" s="123"/>
      <c r="G36" s="131"/>
      <c r="H36" s="131"/>
      <c r="I36" s="132" t="str">
        <f t="shared" ref="I36:I59" si="13">H36&amp;G36</f>
        <v/>
      </c>
      <c r="J36" s="137"/>
      <c r="K36" s="131"/>
      <c r="L36" s="133"/>
      <c r="M36" s="108" t="str">
        <f t="shared" si="7"/>
        <v/>
      </c>
      <c r="N36" s="306" t="str" cm="1">
        <f t="array" ref="N36">IF(K36="","",IF(F36="Distance",_xlfn.XLOOKUP(I36&amp;K36,'Emission Factors'!$M$196:$M$352&amp;'Emission Factors'!$U$196:$U$352,'Emission Factors'!$U$196:$U$352),IF(F36="Fuel Use",_xlfn.XLOOKUP(I36,'Emission Factors'!$M$196:$M$352,'Emission Factors'!$U$196:$U$352))))</f>
        <v/>
      </c>
      <c r="O36" s="311" t="str">
        <f>IF(F36="Distance",1,IF(K36="","",IF(OR($K36="Litre",$K36="Tonne"),_xlfn.XLOOKUP(H36&amp;N36&amp;M36,Conversions!$E$20:$E$104,Conversions!$F$20:$F$104),INDEX(Conversions!$C$4:$I$10,MATCH('V3 - Upstream Transport'!$M36,Conversions!$B$4:$B$10,0),MATCH('V3 - Upstream Transport'!$N36,Conversions!$C$3:$I$3,0)))))</f>
        <v/>
      </c>
      <c r="P36" s="310" t="str" cm="1">
        <f t="array" ref="P36">IF(F36="Distance",_xlfn.XLOOKUP(I36&amp;K36,'Emission Factors'!$M:$M&amp;'Emission Factors'!$U:$U,'Emission Factors'!$T:$T),IF(K36="","",_xlfn.XLOOKUP(I36,'Emission Factors'!$M$196:$M$352,'Emission Factors'!$T$196:$T$352)*O36))</f>
        <v/>
      </c>
      <c r="Q36" s="311" t="str">
        <f t="shared" si="8"/>
        <v/>
      </c>
      <c r="R36" s="134" t="str">
        <f t="shared" si="11"/>
        <v/>
      </c>
      <c r="S36" s="306" t="str">
        <f>IF(K36="","",_xlfn.XLOOKUP(I36,'Emission Factors'!$M:$M,'Emission Factors'!$W:$W))</f>
        <v/>
      </c>
      <c r="T36" s="136"/>
      <c r="U36" s="67"/>
      <c r="V36" s="306" t="str">
        <f t="shared" si="9"/>
        <v/>
      </c>
      <c r="W36" s="306" t="str" cm="1">
        <f t="array" ref="W36">IF(K36="","",IF(F36="Distance",_xlfn.XLOOKUP(I36&amp;K36,'Emission Factors'!$M$432:$M$787&amp;'Emission Factors'!$U$432:$U$787,'Emission Factors'!$U$432:$U$787),IF(F36="Fuel Use",_xlfn.XLOOKUP(I36,'Emission Factors'!$M$432:$M$787,'Emission Factors'!$U$432:$U$787))))</f>
        <v/>
      </c>
      <c r="X36" s="334" t="str">
        <f>IF(F36="Distance",1,IF(K36="","",IF(OR($K36="Litre",$K36="Tonne"),_xlfn.XLOOKUP(H36&amp;N36&amp;M36,Conversions!$E$20:$E$104,Conversions!$F$20:$F$104),INDEX(Conversions!$C$4:$I$10,MATCH('V3 - Upstream Transport'!$M36,Conversions!$B$4:$B$10,0),MATCH('V3 - Upstream Transport'!$N36,Conversions!$C$3:$I$3,0)))))</f>
        <v/>
      </c>
      <c r="Y36" s="310" t="str">
        <f>IF(K36="","",_xlfn.XLOOKUP(I36,'Emission Factors'!$M$432:$M$787,'Emission Factors'!$S$432:$S$787)*X36)</f>
        <v/>
      </c>
      <c r="Z36" s="311" t="str">
        <f t="shared" si="10"/>
        <v/>
      </c>
      <c r="AA36" s="128" t="str">
        <f t="shared" si="12"/>
        <v/>
      </c>
      <c r="AB36" s="306" t="str">
        <f>IF(L36="","",_xlfn.XLOOKUP(I36,'Emission Factors'!$M443:$M799,'Emission Factors'!$W443:$W799))</f>
        <v/>
      </c>
      <c r="AC36" s="67"/>
      <c r="AD36" s="151"/>
    </row>
    <row r="37" spans="2:30">
      <c r="B37" s="166"/>
      <c r="C37" s="173"/>
      <c r="D37" s="123"/>
      <c r="E37" s="136"/>
      <c r="F37" s="123"/>
      <c r="G37" s="131"/>
      <c r="H37" s="131"/>
      <c r="I37" s="132" t="str">
        <f>H37&amp;G37</f>
        <v/>
      </c>
      <c r="J37" s="137"/>
      <c r="K37" s="131"/>
      <c r="L37" s="133"/>
      <c r="M37" s="108" t="str">
        <f>IF(K37="","",K37)</f>
        <v/>
      </c>
      <c r="N37" s="306" t="str" cm="1">
        <f t="array" ref="N37">IF(K37="","",IF(F37="Distance",_xlfn.XLOOKUP(I37&amp;K37,'Emission Factors'!$M$196:$M$352&amp;'Emission Factors'!$U$196:$U$352,'Emission Factors'!$U$196:$U$352),IF(F37="Fuel Use",_xlfn.XLOOKUP(I37,'Emission Factors'!$M$196:$M$352,'Emission Factors'!$U$196:$U$352))))</f>
        <v/>
      </c>
      <c r="O37" s="311" t="str">
        <f>IF(F37="Distance",1,IF(K37="","",IF(OR($K37="Litre",$K37="Tonne"),_xlfn.XLOOKUP(H37&amp;N37&amp;M37,Conversions!$E$20:$E$104,Conversions!$F$20:$F$104),INDEX(Conversions!$C$4:$I$10,MATCH('V3 - Upstream Transport'!$M37,Conversions!$B$4:$B$10,0),MATCH('V3 - Upstream Transport'!$N37,Conversions!$C$3:$I$3,0)))))</f>
        <v/>
      </c>
      <c r="P37" s="310" t="str" cm="1">
        <f t="array" ref="P37">IF(F37="Distance",_xlfn.XLOOKUP(I37&amp;K37,'Emission Factors'!$M:$M&amp;'Emission Factors'!$U:$U,'Emission Factors'!$T:$T),IF(K37="","",_xlfn.XLOOKUP(I37,'Emission Factors'!$M$196:$M$352,'Emission Factors'!$T$196:$T$352)*O37))</f>
        <v/>
      </c>
      <c r="Q37" s="311" t="str">
        <f>IF(K37="","","kgCO2e/"&amp;M37)</f>
        <v/>
      </c>
      <c r="R37" s="134" t="str">
        <f>IF(ISBLANK(J37)=TRUE,"",IF(ISBLANK(P37)=TRUE,"",IF(K37="tonne.km",J37*L37*P37/1000,(J37*P37)/1000)))</f>
        <v/>
      </c>
      <c r="S37" s="306" t="str">
        <f>IF(K37="","",_xlfn.XLOOKUP(I37,'Emission Factors'!$M:$M,'Emission Factors'!$W:$W))</f>
        <v/>
      </c>
      <c r="T37" s="136"/>
      <c r="U37" s="67"/>
      <c r="V37" s="306" t="str">
        <f t="shared" si="9"/>
        <v/>
      </c>
      <c r="W37" s="306" t="str" cm="1">
        <f t="array" ref="W37">IF(K37="","",IF(F37="Distance",_xlfn.XLOOKUP(I37&amp;K37,'Emission Factors'!$M$432:$M$787&amp;'Emission Factors'!$U$432:$U$787,'Emission Factors'!$U$432:$U$787),IF(F37="Fuel Use",_xlfn.XLOOKUP(I37,'Emission Factors'!$M$432:$M$787,'Emission Factors'!$U$432:$U$787))))</f>
        <v/>
      </c>
      <c r="X37" s="334" t="str">
        <f>IF(F37="Distance",1,IF(K37="","",IF(OR($K37="Litre",$K37="Tonne"),_xlfn.XLOOKUP(H37&amp;N37&amp;M37,Conversions!$E$20:$E$104,Conversions!$F$20:$F$104),INDEX(Conversions!$C$4:$I$10,MATCH('V3 - Upstream Transport'!$M37,Conversions!$B$4:$B$10,0),MATCH('V3 - Upstream Transport'!$N37,Conversions!$C$3:$I$3,0)))))</f>
        <v/>
      </c>
      <c r="Y37" s="310" t="str">
        <f>IF(K37="","",_xlfn.XLOOKUP(I37,'Emission Factors'!$M$432:$M$787,'Emission Factors'!$S$432:$S$787)*X37)</f>
        <v/>
      </c>
      <c r="Z37" s="311" t="str">
        <f>IF(K37="","","kgCO2e/"&amp;V37)</f>
        <v/>
      </c>
      <c r="AA37" s="128" t="str">
        <f>IF(ISBLANK(J37)=TRUE,"",IF(ISBLANK(Y37)=TRUE,"",IF(K37="tonne.km",J37*L37*Y37/1000,(J37*Y37)/1000)))</f>
        <v/>
      </c>
      <c r="AB37" s="306" t="str">
        <f>IF(L37="","",_xlfn.XLOOKUP(I37,'Emission Factors'!$M444:$M800,'Emission Factors'!$W444:$W800))</f>
        <v/>
      </c>
      <c r="AC37" s="67"/>
      <c r="AD37" s="151"/>
    </row>
    <row r="38" spans="2:30">
      <c r="B38" s="166"/>
      <c r="C38" s="173"/>
      <c r="D38" s="123"/>
      <c r="E38" s="136"/>
      <c r="F38" s="123"/>
      <c r="G38" s="131"/>
      <c r="H38" s="131"/>
      <c r="I38" s="132" t="str">
        <f>H38&amp;G38</f>
        <v/>
      </c>
      <c r="J38" s="137"/>
      <c r="K38" s="131"/>
      <c r="L38" s="133"/>
      <c r="M38" s="108" t="str">
        <f>IF(K38="","",K38)</f>
        <v/>
      </c>
      <c r="N38" s="306" t="str" cm="1">
        <f t="array" ref="N38">IF(K38="","",IF(F38="Distance",_xlfn.XLOOKUP(I38&amp;K38,'Emission Factors'!$M$196:$M$352&amp;'Emission Factors'!$U$196:$U$352,'Emission Factors'!$U$196:$U$352),IF(F38="Fuel Use",_xlfn.XLOOKUP(I38,'Emission Factors'!$M$196:$M$352,'Emission Factors'!$U$196:$U$352))))</f>
        <v/>
      </c>
      <c r="O38" s="311" t="str">
        <f>IF(F38="Distance",1,IF(K38="","",IF(OR($K38="Litre",$K38="Tonne"),_xlfn.XLOOKUP(H38&amp;N38&amp;M38,Conversions!$E$20:$E$104,Conversions!$F$20:$F$104),INDEX(Conversions!$C$4:$I$10,MATCH('V3 - Upstream Transport'!$M38,Conversions!$B$4:$B$10,0),MATCH('V3 - Upstream Transport'!$N38,Conversions!$C$3:$I$3,0)))))</f>
        <v/>
      </c>
      <c r="P38" s="310" t="str" cm="1">
        <f t="array" ref="P38">IF(F38="Distance",_xlfn.XLOOKUP(I38&amp;K38,'Emission Factors'!$M:$M&amp;'Emission Factors'!$U:$U,'Emission Factors'!$T:$T),IF(K38="","",_xlfn.XLOOKUP(I38,'Emission Factors'!$M$196:$M$352,'Emission Factors'!$T$196:$T$352)*O38))</f>
        <v/>
      </c>
      <c r="Q38" s="311" t="str">
        <f>IF(K38="","","kgCO2e/"&amp;M38)</f>
        <v/>
      </c>
      <c r="R38" s="134" t="str">
        <f>IF(ISBLANK(J38)=TRUE,"",IF(ISBLANK(P38)=TRUE,"",IF(K38="tonne.km",J38*L38*P38/1000,(J38*P38)/1000)))</f>
        <v/>
      </c>
      <c r="S38" s="306" t="str">
        <f>IF(K38="","",_xlfn.XLOOKUP(I38,'Emission Factors'!$M:$M,'Emission Factors'!$W:$W))</f>
        <v/>
      </c>
      <c r="T38" s="136"/>
      <c r="U38" s="67"/>
      <c r="V38" s="306" t="str">
        <f t="shared" si="9"/>
        <v/>
      </c>
      <c r="W38" s="306" t="str" cm="1">
        <f t="array" ref="W38">IF(K38="","",IF(F38="Distance",_xlfn.XLOOKUP(I38&amp;K38,'Emission Factors'!$M$432:$M$787&amp;'Emission Factors'!$U$432:$U$787,'Emission Factors'!$U$432:$U$787),IF(F38="Fuel Use",_xlfn.XLOOKUP(I38,'Emission Factors'!$M$432:$M$787,'Emission Factors'!$U$432:$U$787))))</f>
        <v/>
      </c>
      <c r="X38" s="334" t="str">
        <f>IF(F38="Distance",1,IF(K38="","",IF(OR($K38="Litre",$K38="Tonne"),_xlfn.XLOOKUP(H38&amp;N38&amp;M38,Conversions!$E$20:$E$104,Conversions!$F$20:$F$104),INDEX(Conversions!$C$4:$I$10,MATCH('V3 - Upstream Transport'!$M38,Conversions!$B$4:$B$10,0),MATCH('V3 - Upstream Transport'!$N38,Conversions!$C$3:$I$3,0)))))</f>
        <v/>
      </c>
      <c r="Y38" s="310" t="str">
        <f>IF(K38="","",_xlfn.XLOOKUP(I38,'Emission Factors'!$M$432:$M$787,'Emission Factors'!$S$432:$S$787)*X38)</f>
        <v/>
      </c>
      <c r="Z38" s="311" t="str">
        <f>IF(K38="","","kgCO2e/"&amp;V38)</f>
        <v/>
      </c>
      <c r="AA38" s="128" t="str">
        <f>IF(ISBLANK(J38)=TRUE,"",IF(ISBLANK(Y38)=TRUE,"",IF(K38="tonne.km",J38*L38*Y38/1000,(J38*Y38)/1000)))</f>
        <v/>
      </c>
      <c r="AB38" s="306" t="str">
        <f>IF(L38="","",_xlfn.XLOOKUP(I38,'Emission Factors'!$M445:$M801,'Emission Factors'!$W445:$W801))</f>
        <v/>
      </c>
      <c r="AC38" s="67"/>
      <c r="AD38" s="151"/>
    </row>
    <row r="39" spans="2:30">
      <c r="B39" s="166"/>
      <c r="C39" s="173"/>
      <c r="D39" s="123"/>
      <c r="E39" s="136"/>
      <c r="F39" s="123"/>
      <c r="G39" s="131"/>
      <c r="H39" s="131"/>
      <c r="I39" s="132" t="str">
        <f t="shared" si="13"/>
        <v/>
      </c>
      <c r="J39" s="137"/>
      <c r="K39" s="131"/>
      <c r="L39" s="133"/>
      <c r="M39" s="108" t="str">
        <f t="shared" si="7"/>
        <v/>
      </c>
      <c r="N39" s="306" t="str" cm="1">
        <f t="array" ref="N39">IF(K39="","",IF(F39="Distance",_xlfn.XLOOKUP(I39&amp;K39,'Emission Factors'!$M$196:$M$352&amp;'Emission Factors'!$U$196:$U$352,'Emission Factors'!$U$196:$U$352),IF(F39="Fuel Use",_xlfn.XLOOKUP(I39,'Emission Factors'!$M$196:$M$352,'Emission Factors'!$U$196:$U$352))))</f>
        <v/>
      </c>
      <c r="O39" s="311" t="str">
        <f>IF(F39="Distance",1,IF(K39="","",IF(OR($K39="Litre",$K39="Tonne"),_xlfn.XLOOKUP(H39&amp;N39&amp;M39,Conversions!$E$20:$E$104,Conversions!$F$20:$F$104),INDEX(Conversions!$C$4:$I$10,MATCH('V3 - Upstream Transport'!$M39,Conversions!$B$4:$B$10,0),MATCH('V3 - Upstream Transport'!$N39,Conversions!$C$3:$I$3,0)))))</f>
        <v/>
      </c>
      <c r="P39" s="310" t="str" cm="1">
        <f t="array" ref="P39">IF(F39="Distance",_xlfn.XLOOKUP(I39&amp;K39,'Emission Factors'!$M:$M&amp;'Emission Factors'!$U:$U,'Emission Factors'!$T:$T),IF(K39="","",_xlfn.XLOOKUP(I39,'Emission Factors'!$M$196:$M$352,'Emission Factors'!$T$196:$T$352)*O39))</f>
        <v/>
      </c>
      <c r="Q39" s="311" t="str">
        <f t="shared" si="8"/>
        <v/>
      </c>
      <c r="R39" s="134" t="str">
        <f t="shared" si="11"/>
        <v/>
      </c>
      <c r="S39" s="306" t="str">
        <f>IF(K39="","",_xlfn.XLOOKUP(I39,'Emission Factors'!$M:$M,'Emission Factors'!$W:$W))</f>
        <v/>
      </c>
      <c r="T39" s="136"/>
      <c r="U39" s="67"/>
      <c r="V39" s="306" t="str">
        <f t="shared" si="9"/>
        <v/>
      </c>
      <c r="W39" s="306" t="str" cm="1">
        <f t="array" ref="W39">IF(K39="","",IF(F39="Distance",_xlfn.XLOOKUP(I39&amp;K39,'Emission Factors'!$M$432:$M$787&amp;'Emission Factors'!$U$432:$U$787,'Emission Factors'!$U$432:$U$787),IF(F39="Fuel Use",_xlfn.XLOOKUP(I39,'Emission Factors'!$M$432:$M$787,'Emission Factors'!$U$432:$U$787))))</f>
        <v/>
      </c>
      <c r="X39" s="334" t="str">
        <f>IF(F39="Distance",1,IF(K39="","",IF(OR($K39="Litre",$K39="Tonne"),_xlfn.XLOOKUP(H39&amp;N39&amp;M39,Conversions!$E$20:$E$104,Conversions!$F$20:$F$104),INDEX(Conversions!$C$4:$I$10,MATCH('V3 - Upstream Transport'!$M39,Conversions!$B$4:$B$10,0),MATCH('V3 - Upstream Transport'!$N39,Conversions!$C$3:$I$3,0)))))</f>
        <v/>
      </c>
      <c r="Y39" s="310" t="str">
        <f>IF(K39="","",_xlfn.XLOOKUP(I39,'Emission Factors'!$M$432:$M$787,'Emission Factors'!$S$432:$S$787)*X39)</f>
        <v/>
      </c>
      <c r="Z39" s="311" t="str">
        <f t="shared" si="10"/>
        <v/>
      </c>
      <c r="AA39" s="128" t="str">
        <f t="shared" si="12"/>
        <v/>
      </c>
      <c r="AB39" s="306" t="str">
        <f>IF(L39="","",_xlfn.XLOOKUP(I39,'Emission Factors'!$M446:$M802,'Emission Factors'!$W446:$W802))</f>
        <v/>
      </c>
      <c r="AC39" s="67"/>
      <c r="AD39" s="151"/>
    </row>
    <row r="40" spans="2:30">
      <c r="B40" s="166"/>
      <c r="C40" s="173"/>
      <c r="D40" s="123"/>
      <c r="E40" s="136"/>
      <c r="F40" s="123"/>
      <c r="G40" s="131"/>
      <c r="H40" s="131"/>
      <c r="I40" s="132" t="str">
        <f t="shared" si="13"/>
        <v/>
      </c>
      <c r="J40" s="137"/>
      <c r="K40" s="131"/>
      <c r="L40" s="133"/>
      <c r="M40" s="108" t="str">
        <f t="shared" si="7"/>
        <v/>
      </c>
      <c r="N40" s="306" t="str" cm="1">
        <f t="array" ref="N40">IF(K40="","",IF(F40="Distance",_xlfn.XLOOKUP(I40&amp;K40,'Emission Factors'!$M$196:$M$352&amp;'Emission Factors'!$U$196:$U$352,'Emission Factors'!$U$196:$U$352),IF(F40="Fuel Use",_xlfn.XLOOKUP(I40,'Emission Factors'!$M$196:$M$352,'Emission Factors'!$U$196:$U$352))))</f>
        <v/>
      </c>
      <c r="O40" s="311" t="str">
        <f>IF(F40="Distance",1,IF(K40="","",IF(OR($K40="Litre",$K40="Tonne"),_xlfn.XLOOKUP(H40&amp;N40&amp;M40,Conversions!$E$20:$E$104,Conversions!$F$20:$F$104),INDEX(Conversions!$C$4:$I$10,MATCH('V3 - Upstream Transport'!$M40,Conversions!$B$4:$B$10,0),MATCH('V3 - Upstream Transport'!$N40,Conversions!$C$3:$I$3,0)))))</f>
        <v/>
      </c>
      <c r="P40" s="310" t="str" cm="1">
        <f t="array" ref="P40">IF(F40="Distance",_xlfn.XLOOKUP(I40&amp;K40,'Emission Factors'!$M:$M&amp;'Emission Factors'!$U:$U,'Emission Factors'!$T:$T),IF(K40="","",_xlfn.XLOOKUP(I40,'Emission Factors'!$M$196:$M$352,'Emission Factors'!$T$196:$T$352)*O40))</f>
        <v/>
      </c>
      <c r="Q40" s="311" t="str">
        <f t="shared" si="8"/>
        <v/>
      </c>
      <c r="R40" s="134" t="str">
        <f t="shared" si="11"/>
        <v/>
      </c>
      <c r="S40" s="306" t="str">
        <f>IF(K40="","",_xlfn.XLOOKUP(I40,'Emission Factors'!$M:$M,'Emission Factors'!$W:$W))</f>
        <v/>
      </c>
      <c r="T40" s="136"/>
      <c r="U40" s="67"/>
      <c r="V40" s="306" t="str">
        <f t="shared" si="9"/>
        <v/>
      </c>
      <c r="W40" s="306" t="str" cm="1">
        <f t="array" ref="W40">IF(K40="","",IF(F40="Distance",_xlfn.XLOOKUP(I40&amp;K40,'Emission Factors'!$M$432:$M$787&amp;'Emission Factors'!$U$432:$U$787,'Emission Factors'!$U$432:$U$787),IF(F40="Fuel Use",_xlfn.XLOOKUP(I40,'Emission Factors'!$M$432:$M$787,'Emission Factors'!$U$432:$U$787))))</f>
        <v/>
      </c>
      <c r="X40" s="334" t="str">
        <f>IF(F40="Distance",1,IF(K40="","",IF(OR($K40="Litre",$K40="Tonne"),_xlfn.XLOOKUP(H40&amp;N40&amp;M40,Conversions!$E$20:$E$104,Conversions!$F$20:$F$104),INDEX(Conversions!$C$4:$I$10,MATCH('V3 - Upstream Transport'!$M40,Conversions!$B$4:$B$10,0),MATCH('V3 - Upstream Transport'!$N40,Conversions!$C$3:$I$3,0)))))</f>
        <v/>
      </c>
      <c r="Y40" s="310" t="str">
        <f>IF(K40="","",_xlfn.XLOOKUP(I40,'Emission Factors'!$M$432:$M$787,'Emission Factors'!$S$432:$S$787)*X40)</f>
        <v/>
      </c>
      <c r="Z40" s="311" t="str">
        <f t="shared" si="10"/>
        <v/>
      </c>
      <c r="AA40" s="128" t="str">
        <f t="shared" si="12"/>
        <v/>
      </c>
      <c r="AB40" s="306" t="str">
        <f>IF(L40="","",_xlfn.XLOOKUP(I40,'Emission Factors'!$M447:$M803,'Emission Factors'!$W447:$W803))</f>
        <v/>
      </c>
      <c r="AC40" s="67"/>
      <c r="AD40" s="151"/>
    </row>
    <row r="41" spans="2:30">
      <c r="B41" s="166"/>
      <c r="C41" s="173"/>
      <c r="D41" s="123"/>
      <c r="E41" s="136"/>
      <c r="F41" s="123"/>
      <c r="G41" s="131"/>
      <c r="H41" s="131"/>
      <c r="I41" s="132" t="str">
        <f t="shared" si="13"/>
        <v/>
      </c>
      <c r="J41" s="137"/>
      <c r="K41" s="131"/>
      <c r="L41" s="133"/>
      <c r="M41" s="108" t="str">
        <f t="shared" si="7"/>
        <v/>
      </c>
      <c r="N41" s="306" t="str" cm="1">
        <f t="array" ref="N41">IF(K41="","",IF(F41="Distance",_xlfn.XLOOKUP(I41&amp;K41,'Emission Factors'!$M$196:$M$352&amp;'Emission Factors'!$U$196:$U$352,'Emission Factors'!$U$196:$U$352),IF(F41="Fuel Use",_xlfn.XLOOKUP(I41,'Emission Factors'!$M$196:$M$352,'Emission Factors'!$U$196:$U$352))))</f>
        <v/>
      </c>
      <c r="O41" s="311" t="str">
        <f>IF(F41="Distance",1,IF(K41="","",IF(OR($K41="Litre",$K41="Tonne"),_xlfn.XLOOKUP(H41&amp;N41&amp;M41,Conversions!$E$20:$E$104,Conversions!$F$20:$F$104),INDEX(Conversions!$C$4:$I$10,MATCH('V3 - Upstream Transport'!$M41,Conversions!$B$4:$B$10,0),MATCH('V3 - Upstream Transport'!$N41,Conversions!$C$3:$I$3,0)))))</f>
        <v/>
      </c>
      <c r="P41" s="310" t="str" cm="1">
        <f t="array" ref="P41">IF(F41="Distance",_xlfn.XLOOKUP(I41&amp;K41,'Emission Factors'!$M:$M&amp;'Emission Factors'!$U:$U,'Emission Factors'!$T:$T),IF(K41="","",_xlfn.XLOOKUP(I41,'Emission Factors'!$M$196:$M$352,'Emission Factors'!$T$196:$T$352)*O41))</f>
        <v/>
      </c>
      <c r="Q41" s="311" t="str">
        <f t="shared" si="8"/>
        <v/>
      </c>
      <c r="R41" s="134" t="str">
        <f t="shared" si="11"/>
        <v/>
      </c>
      <c r="S41" s="306" t="str">
        <f>IF(K41="","",_xlfn.XLOOKUP(I41,'Emission Factors'!$M:$M,'Emission Factors'!$W:$W))</f>
        <v/>
      </c>
      <c r="T41" s="136"/>
      <c r="U41" s="67"/>
      <c r="V41" s="306" t="str">
        <f t="shared" si="9"/>
        <v/>
      </c>
      <c r="W41" s="306" t="str" cm="1">
        <f t="array" ref="W41">IF(K41="","",IF(F41="Distance",_xlfn.XLOOKUP(I41&amp;K41,'Emission Factors'!$M$432:$M$787&amp;'Emission Factors'!$U$432:$U$787,'Emission Factors'!$U$432:$U$787),IF(F41="Fuel Use",_xlfn.XLOOKUP(I41,'Emission Factors'!$M$432:$M$787,'Emission Factors'!$U$432:$U$787))))</f>
        <v/>
      </c>
      <c r="X41" s="334" t="str">
        <f>IF(F41="Distance",1,IF(K41="","",IF(OR($K41="Litre",$K41="Tonne"),_xlfn.XLOOKUP(H41&amp;N41&amp;M41,Conversions!$E$20:$E$104,Conversions!$F$20:$F$104),INDEX(Conversions!$C$4:$I$10,MATCH('V3 - Upstream Transport'!$M41,Conversions!$B$4:$B$10,0),MATCH('V3 - Upstream Transport'!$N41,Conversions!$C$3:$I$3,0)))))</f>
        <v/>
      </c>
      <c r="Y41" s="310" t="str">
        <f>IF(K41="","",_xlfn.XLOOKUP(I41,'Emission Factors'!$M$432:$M$787,'Emission Factors'!$S$432:$S$787)*X41)</f>
        <v/>
      </c>
      <c r="Z41" s="311" t="str">
        <f t="shared" si="10"/>
        <v/>
      </c>
      <c r="AA41" s="128" t="str">
        <f t="shared" si="12"/>
        <v/>
      </c>
      <c r="AB41" s="306" t="str">
        <f>IF(L41="","",_xlfn.XLOOKUP(I41,'Emission Factors'!$M448:$M804,'Emission Factors'!$W448:$W804))</f>
        <v/>
      </c>
      <c r="AC41" s="67"/>
      <c r="AD41" s="151"/>
    </row>
    <row r="42" spans="2:30">
      <c r="B42" s="166"/>
      <c r="C42" s="173"/>
      <c r="D42" s="123"/>
      <c r="E42" s="136"/>
      <c r="F42" s="123"/>
      <c r="G42" s="131"/>
      <c r="H42" s="131"/>
      <c r="I42" s="132" t="str">
        <f t="shared" si="13"/>
        <v/>
      </c>
      <c r="J42" s="137"/>
      <c r="K42" s="131"/>
      <c r="L42" s="133"/>
      <c r="M42" s="108" t="str">
        <f t="shared" si="7"/>
        <v/>
      </c>
      <c r="N42" s="306" t="str" cm="1">
        <f t="array" ref="N42">IF(K42="","",IF(F42="Distance",_xlfn.XLOOKUP(I42&amp;K42,'Emission Factors'!$M$196:$M$352&amp;'Emission Factors'!$U$196:$U$352,'Emission Factors'!$U$196:$U$352),IF(F42="Fuel Use",_xlfn.XLOOKUP(I42,'Emission Factors'!$M$196:$M$352,'Emission Factors'!$U$196:$U$352))))</f>
        <v/>
      </c>
      <c r="O42" s="311" t="str">
        <f>IF(F42="Distance",1,IF(K42="","",IF(OR($K42="Litre",$K42="Tonne"),_xlfn.XLOOKUP(H42&amp;N42&amp;M42,Conversions!$E$20:$E$104,Conversions!$F$20:$F$104),INDEX(Conversions!$C$4:$I$10,MATCH('V3 - Upstream Transport'!$M42,Conversions!$B$4:$B$10,0),MATCH('V3 - Upstream Transport'!$N42,Conversions!$C$3:$I$3,0)))))</f>
        <v/>
      </c>
      <c r="P42" s="310" t="str" cm="1">
        <f t="array" ref="P42">IF(F42="Distance",_xlfn.XLOOKUP(I42&amp;K42,'Emission Factors'!$M:$M&amp;'Emission Factors'!$U:$U,'Emission Factors'!$T:$T),IF(K42="","",_xlfn.XLOOKUP(I42,'Emission Factors'!$M$196:$M$352,'Emission Factors'!$T$196:$T$352)*O42))</f>
        <v/>
      </c>
      <c r="Q42" s="311" t="str">
        <f t="shared" si="8"/>
        <v/>
      </c>
      <c r="R42" s="134" t="str">
        <f t="shared" si="11"/>
        <v/>
      </c>
      <c r="S42" s="306" t="str">
        <f>IF(K42="","",_xlfn.XLOOKUP(I42,'Emission Factors'!$M:$M,'Emission Factors'!$W:$W))</f>
        <v/>
      </c>
      <c r="T42" s="136"/>
      <c r="U42" s="67"/>
      <c r="V42" s="306" t="str">
        <f t="shared" si="9"/>
        <v/>
      </c>
      <c r="W42" s="306" t="str" cm="1">
        <f t="array" ref="W42">IF(K42="","",IF(F42="Distance",_xlfn.XLOOKUP(I42&amp;K42,'Emission Factors'!$M$432:$M$787&amp;'Emission Factors'!$U$432:$U$787,'Emission Factors'!$U$432:$U$787),IF(F42="Fuel Use",_xlfn.XLOOKUP(I42,'Emission Factors'!$M$432:$M$787,'Emission Factors'!$U$432:$U$787))))</f>
        <v/>
      </c>
      <c r="X42" s="334" t="str">
        <f>IF(F42="Distance",1,IF(K42="","",IF(OR($K42="Litre",$K42="Tonne"),_xlfn.XLOOKUP(H42&amp;N42&amp;M42,Conversions!$E$20:$E$104,Conversions!$F$20:$F$104),INDEX(Conversions!$C$4:$I$10,MATCH('V3 - Upstream Transport'!$M42,Conversions!$B$4:$B$10,0),MATCH('V3 - Upstream Transport'!$N42,Conversions!$C$3:$I$3,0)))))</f>
        <v/>
      </c>
      <c r="Y42" s="310" t="str">
        <f>IF(K42="","",_xlfn.XLOOKUP(I42,'Emission Factors'!$M$432:$M$787,'Emission Factors'!$S$432:$S$787)*X42)</f>
        <v/>
      </c>
      <c r="Z42" s="311" t="str">
        <f t="shared" si="10"/>
        <v/>
      </c>
      <c r="AA42" s="128" t="str">
        <f t="shared" si="12"/>
        <v/>
      </c>
      <c r="AB42" s="306" t="str">
        <f>IF(L42="","",_xlfn.XLOOKUP(I42,'Emission Factors'!$M449:$M805,'Emission Factors'!$W449:$W805))</f>
        <v/>
      </c>
      <c r="AC42" s="67"/>
      <c r="AD42" s="151"/>
    </row>
    <row r="43" spans="2:30">
      <c r="B43" s="166"/>
      <c r="C43" s="173"/>
      <c r="D43" s="123"/>
      <c r="E43" s="136"/>
      <c r="F43" s="123"/>
      <c r="G43" s="131"/>
      <c r="H43" s="131"/>
      <c r="I43" s="132" t="str">
        <f t="shared" si="13"/>
        <v/>
      </c>
      <c r="J43" s="137"/>
      <c r="K43" s="131"/>
      <c r="L43" s="133"/>
      <c r="M43" s="108" t="str">
        <f t="shared" si="7"/>
        <v/>
      </c>
      <c r="N43" s="306" t="str" cm="1">
        <f t="array" ref="N43">IF(K43="","",IF(F43="Distance",_xlfn.XLOOKUP(I43&amp;K43,'Emission Factors'!$M$196:$M$352&amp;'Emission Factors'!$U$196:$U$352,'Emission Factors'!$U$196:$U$352),IF(F43="Fuel Use",_xlfn.XLOOKUP(I43,'Emission Factors'!$M$196:$M$352,'Emission Factors'!$U$196:$U$352))))</f>
        <v/>
      </c>
      <c r="O43" s="311" t="str">
        <f>IF(F43="Distance",1,IF(K43="","",IF(OR($K43="Litre",$K43="Tonne"),_xlfn.XLOOKUP(H43&amp;N43&amp;M43,Conversions!$E$20:$E$104,Conversions!$F$20:$F$104),INDEX(Conversions!$C$4:$I$10,MATCH('V3 - Upstream Transport'!$M43,Conversions!$B$4:$B$10,0),MATCH('V3 - Upstream Transport'!$N43,Conversions!$C$3:$I$3,0)))))</f>
        <v/>
      </c>
      <c r="P43" s="310" t="str" cm="1">
        <f t="array" ref="P43">IF(F43="Distance",_xlfn.XLOOKUP(I43&amp;K43,'Emission Factors'!$M:$M&amp;'Emission Factors'!$U:$U,'Emission Factors'!$T:$T),IF(K43="","",_xlfn.XLOOKUP(I43,'Emission Factors'!$M$196:$M$352,'Emission Factors'!$T$196:$T$352)*O43))</f>
        <v/>
      </c>
      <c r="Q43" s="311" t="str">
        <f t="shared" si="8"/>
        <v/>
      </c>
      <c r="R43" s="134" t="str">
        <f t="shared" si="11"/>
        <v/>
      </c>
      <c r="S43" s="306" t="str">
        <f>IF(K43="","",_xlfn.XLOOKUP(I43,'Emission Factors'!$M:$M,'Emission Factors'!$W:$W))</f>
        <v/>
      </c>
      <c r="T43" s="136"/>
      <c r="U43" s="67"/>
      <c r="V43" s="306" t="str">
        <f t="shared" si="9"/>
        <v/>
      </c>
      <c r="W43" s="306" t="str" cm="1">
        <f t="array" ref="W43">IF(K43="","",IF(F43="Distance",_xlfn.XLOOKUP(I43&amp;K43,'Emission Factors'!$M$432:$M$787&amp;'Emission Factors'!$U$432:$U$787,'Emission Factors'!$U$432:$U$787),IF(F43="Fuel Use",_xlfn.XLOOKUP(I43,'Emission Factors'!$M$432:$M$787,'Emission Factors'!$U$432:$U$787))))</f>
        <v/>
      </c>
      <c r="X43" s="334" t="str">
        <f>IF(F43="Distance",1,IF(K43="","",IF(OR($K43="Litre",$K43="Tonne"),_xlfn.XLOOKUP(H43&amp;N43&amp;M43,Conversions!$E$20:$E$104,Conversions!$F$20:$F$104),INDEX(Conversions!$C$4:$I$10,MATCH('V3 - Upstream Transport'!$M43,Conversions!$B$4:$B$10,0),MATCH('V3 - Upstream Transport'!$N43,Conversions!$C$3:$I$3,0)))))</f>
        <v/>
      </c>
      <c r="Y43" s="310" t="str">
        <f>IF(K43="","",_xlfn.XLOOKUP(I43,'Emission Factors'!$M$432:$M$787,'Emission Factors'!$S$432:$S$787)*X43)</f>
        <v/>
      </c>
      <c r="Z43" s="311" t="str">
        <f t="shared" si="10"/>
        <v/>
      </c>
      <c r="AA43" s="128" t="str">
        <f t="shared" si="12"/>
        <v/>
      </c>
      <c r="AB43" s="306" t="str">
        <f>IF(L43="","",_xlfn.XLOOKUP(I43,'Emission Factors'!$M450:$M806,'Emission Factors'!$W450:$W806))</f>
        <v/>
      </c>
      <c r="AC43" s="67"/>
      <c r="AD43" s="151"/>
    </row>
    <row r="44" spans="2:30">
      <c r="B44" s="166"/>
      <c r="C44" s="173"/>
      <c r="D44" s="123"/>
      <c r="E44" s="136"/>
      <c r="F44" s="123"/>
      <c r="G44" s="131"/>
      <c r="H44" s="131"/>
      <c r="I44" s="132" t="str">
        <f t="shared" si="13"/>
        <v/>
      </c>
      <c r="J44" s="137"/>
      <c r="K44" s="131"/>
      <c r="L44" s="133"/>
      <c r="M44" s="108" t="str">
        <f t="shared" si="7"/>
        <v/>
      </c>
      <c r="N44" s="306" t="str" cm="1">
        <f t="array" ref="N44">IF(K44="","",IF(F44="Distance",_xlfn.XLOOKUP(I44&amp;K44,'Emission Factors'!$M$196:$M$352&amp;'Emission Factors'!$U$196:$U$352,'Emission Factors'!$U$196:$U$352),IF(F44="Fuel Use",_xlfn.XLOOKUP(I44,'Emission Factors'!$M$196:$M$352,'Emission Factors'!$U$196:$U$352))))</f>
        <v/>
      </c>
      <c r="O44" s="311" t="str">
        <f>IF(F44="Distance",1,IF(K44="","",IF(OR($K44="Litre",$K44="Tonne"),_xlfn.XLOOKUP(H44&amp;N44&amp;M44,Conversions!$E$20:$E$104,Conversions!$F$20:$F$104),INDEX(Conversions!$C$4:$I$10,MATCH('V3 - Upstream Transport'!$M44,Conversions!$B$4:$B$10,0),MATCH('V3 - Upstream Transport'!$N44,Conversions!$C$3:$I$3,0)))))</f>
        <v/>
      </c>
      <c r="P44" s="310" t="str" cm="1">
        <f t="array" ref="P44">IF(F44="Distance",_xlfn.XLOOKUP(I44&amp;K44,'Emission Factors'!$M:$M&amp;'Emission Factors'!$U:$U,'Emission Factors'!$T:$T),IF(K44="","",_xlfn.XLOOKUP(I44,'Emission Factors'!$M$196:$M$352,'Emission Factors'!$T$196:$T$352)*O44))</f>
        <v/>
      </c>
      <c r="Q44" s="311" t="str">
        <f t="shared" si="8"/>
        <v/>
      </c>
      <c r="R44" s="134" t="str">
        <f t="shared" si="11"/>
        <v/>
      </c>
      <c r="S44" s="306" t="str">
        <f>IF(K44="","",_xlfn.XLOOKUP(I44,'Emission Factors'!$M:$M,'Emission Factors'!$W:$W))</f>
        <v/>
      </c>
      <c r="T44" s="136"/>
      <c r="U44" s="67"/>
      <c r="V44" s="306" t="str">
        <f t="shared" si="9"/>
        <v/>
      </c>
      <c r="W44" s="306" t="str" cm="1">
        <f t="array" ref="W44">IF(K44="","",IF(F44="Distance",_xlfn.XLOOKUP(I44&amp;K44,'Emission Factors'!$M$432:$M$787&amp;'Emission Factors'!$U$432:$U$787,'Emission Factors'!$U$432:$U$787),IF(F44="Fuel Use",_xlfn.XLOOKUP(I44,'Emission Factors'!$M$432:$M$787,'Emission Factors'!$U$432:$U$787))))</f>
        <v/>
      </c>
      <c r="X44" s="334" t="str">
        <f>IF(F44="Distance",1,IF(K44="","",IF(OR($K44="Litre",$K44="Tonne"),_xlfn.XLOOKUP(H44&amp;N44&amp;M44,Conversions!$E$20:$E$104,Conversions!$F$20:$F$104),INDEX(Conversions!$C$4:$I$10,MATCH('V3 - Upstream Transport'!$M44,Conversions!$B$4:$B$10,0),MATCH('V3 - Upstream Transport'!$N44,Conversions!$C$3:$I$3,0)))))</f>
        <v/>
      </c>
      <c r="Y44" s="310" t="str">
        <f>IF(K44="","",_xlfn.XLOOKUP(I44,'Emission Factors'!$M$432:$M$787,'Emission Factors'!$S$432:$S$787)*X44)</f>
        <v/>
      </c>
      <c r="Z44" s="311" t="str">
        <f t="shared" si="10"/>
        <v/>
      </c>
      <c r="AA44" s="128" t="str">
        <f t="shared" si="12"/>
        <v/>
      </c>
      <c r="AB44" s="306" t="str">
        <f>IF(L44="","",_xlfn.XLOOKUP(I44,'Emission Factors'!$M451:$M807,'Emission Factors'!$W451:$W807))</f>
        <v/>
      </c>
      <c r="AC44" s="67"/>
      <c r="AD44" s="151"/>
    </row>
    <row r="45" spans="2:30">
      <c r="B45" s="166"/>
      <c r="C45" s="173"/>
      <c r="D45" s="123"/>
      <c r="E45" s="136"/>
      <c r="F45" s="123"/>
      <c r="G45" s="131"/>
      <c r="H45" s="131"/>
      <c r="I45" s="132" t="str">
        <f t="shared" si="13"/>
        <v/>
      </c>
      <c r="J45" s="137"/>
      <c r="K45" s="131"/>
      <c r="L45" s="133"/>
      <c r="M45" s="108" t="str">
        <f t="shared" si="7"/>
        <v/>
      </c>
      <c r="N45" s="306" t="str" cm="1">
        <f t="array" ref="N45">IF(K45="","",IF(F45="Distance",_xlfn.XLOOKUP(I45&amp;K45,'Emission Factors'!$M$196:$M$352&amp;'Emission Factors'!$U$196:$U$352,'Emission Factors'!$U$196:$U$352),IF(F45="Fuel Use",_xlfn.XLOOKUP(I45,'Emission Factors'!$M$196:$M$352,'Emission Factors'!$U$196:$U$352))))</f>
        <v/>
      </c>
      <c r="O45" s="311" t="str">
        <f>IF(F45="Distance",1,IF(K45="","",IF(OR($K45="Litre",$K45="Tonne"),_xlfn.XLOOKUP(H45&amp;N45&amp;M45,Conversions!$E$20:$E$104,Conversions!$F$20:$F$104),INDEX(Conversions!$C$4:$I$10,MATCH('V3 - Upstream Transport'!$M45,Conversions!$B$4:$B$10,0),MATCH('V3 - Upstream Transport'!$N45,Conversions!$C$3:$I$3,0)))))</f>
        <v/>
      </c>
      <c r="P45" s="310" t="str" cm="1">
        <f t="array" ref="P45">IF(F45="Distance",_xlfn.XLOOKUP(I45&amp;K45,'Emission Factors'!$M:$M&amp;'Emission Factors'!$U:$U,'Emission Factors'!$T:$T),IF(K45="","",_xlfn.XLOOKUP(I45,'Emission Factors'!$M$196:$M$352,'Emission Factors'!$T$196:$T$352)*O45))</f>
        <v/>
      </c>
      <c r="Q45" s="311" t="str">
        <f t="shared" si="8"/>
        <v/>
      </c>
      <c r="R45" s="134" t="str">
        <f t="shared" si="11"/>
        <v/>
      </c>
      <c r="S45" s="306" t="str">
        <f>IF(K45="","",_xlfn.XLOOKUP(I45,'Emission Factors'!$M:$M,'Emission Factors'!$W:$W))</f>
        <v/>
      </c>
      <c r="T45" s="136"/>
      <c r="U45" s="67"/>
      <c r="V45" s="306" t="str">
        <f t="shared" si="9"/>
        <v/>
      </c>
      <c r="W45" s="306" t="str" cm="1">
        <f t="array" ref="W45">IF(K45="","",IF(F45="Distance",_xlfn.XLOOKUP(I45&amp;K45,'Emission Factors'!$M$432:$M$787&amp;'Emission Factors'!$U$432:$U$787,'Emission Factors'!$U$432:$U$787),IF(F45="Fuel Use",_xlfn.XLOOKUP(I45,'Emission Factors'!$M$432:$M$787,'Emission Factors'!$U$432:$U$787))))</f>
        <v/>
      </c>
      <c r="X45" s="334" t="str">
        <f>IF(F45="Distance",1,IF(K45="","",IF(OR($K45="Litre",$K45="Tonne"),_xlfn.XLOOKUP(H45&amp;N45&amp;M45,Conversions!$E$20:$E$104,Conversions!$F$20:$F$104),INDEX(Conversions!$C$4:$I$10,MATCH('V3 - Upstream Transport'!$M45,Conversions!$B$4:$B$10,0),MATCH('V3 - Upstream Transport'!$N45,Conversions!$C$3:$I$3,0)))))</f>
        <v/>
      </c>
      <c r="Y45" s="310" t="str">
        <f>IF(K45="","",_xlfn.XLOOKUP(I45,'Emission Factors'!$M$432:$M$787,'Emission Factors'!$S$432:$S$787)*X45)</f>
        <v/>
      </c>
      <c r="Z45" s="311" t="str">
        <f t="shared" si="10"/>
        <v/>
      </c>
      <c r="AA45" s="128" t="str">
        <f t="shared" si="12"/>
        <v/>
      </c>
      <c r="AB45" s="306" t="str">
        <f>IF(L45="","",_xlfn.XLOOKUP(I45,'Emission Factors'!$M452:$M808,'Emission Factors'!$W452:$W808))</f>
        <v/>
      </c>
      <c r="AC45" s="67"/>
      <c r="AD45" s="151"/>
    </row>
    <row r="46" spans="2:30">
      <c r="B46" s="166"/>
      <c r="C46" s="173"/>
      <c r="D46" s="123"/>
      <c r="E46" s="136"/>
      <c r="F46" s="123"/>
      <c r="G46" s="131"/>
      <c r="H46" s="131"/>
      <c r="I46" s="132" t="str">
        <f t="shared" si="13"/>
        <v/>
      </c>
      <c r="J46" s="137"/>
      <c r="K46" s="131"/>
      <c r="L46" s="133"/>
      <c r="M46" s="108" t="str">
        <f t="shared" si="7"/>
        <v/>
      </c>
      <c r="N46" s="306" t="str" cm="1">
        <f t="array" ref="N46">IF(K46="","",IF(F46="Distance",_xlfn.XLOOKUP(I46&amp;K46,'Emission Factors'!$M$196:$M$352&amp;'Emission Factors'!$U$196:$U$352,'Emission Factors'!$U$196:$U$352),IF(F46="Fuel Use",_xlfn.XLOOKUP(I46,'Emission Factors'!$M$196:$M$352,'Emission Factors'!$U$196:$U$352))))</f>
        <v/>
      </c>
      <c r="O46" s="311" t="str">
        <f>IF(F46="Distance",1,IF(K46="","",IF(OR($K46="Litre",$K46="Tonne"),_xlfn.XLOOKUP(H46&amp;N46&amp;M46,Conversions!$E$20:$E$104,Conversions!$F$20:$F$104),INDEX(Conversions!$C$4:$I$10,MATCH('V3 - Upstream Transport'!$M46,Conversions!$B$4:$B$10,0),MATCH('V3 - Upstream Transport'!$N46,Conversions!$C$3:$I$3,0)))))</f>
        <v/>
      </c>
      <c r="P46" s="310" t="str" cm="1">
        <f t="array" ref="P46">IF(F46="Distance",_xlfn.XLOOKUP(I46&amp;K46,'Emission Factors'!$M:$M&amp;'Emission Factors'!$U:$U,'Emission Factors'!$T:$T),IF(K46="","",_xlfn.XLOOKUP(I46,'Emission Factors'!$M$196:$M$352,'Emission Factors'!$T$196:$T$352)*O46))</f>
        <v/>
      </c>
      <c r="Q46" s="311" t="str">
        <f t="shared" si="8"/>
        <v/>
      </c>
      <c r="R46" s="134" t="str">
        <f t="shared" si="11"/>
        <v/>
      </c>
      <c r="S46" s="306" t="str">
        <f>IF(K46="","",_xlfn.XLOOKUP(I46,'Emission Factors'!$M:$M,'Emission Factors'!$W:$W))</f>
        <v/>
      </c>
      <c r="T46" s="136"/>
      <c r="U46" s="67"/>
      <c r="V46" s="306" t="str">
        <f t="shared" si="9"/>
        <v/>
      </c>
      <c r="W46" s="306" t="str" cm="1">
        <f t="array" ref="W46">IF(K46="","",IF(F46="Distance",_xlfn.XLOOKUP(I46&amp;K46,'Emission Factors'!$M$432:$M$787&amp;'Emission Factors'!$U$432:$U$787,'Emission Factors'!$U$432:$U$787),IF(F46="Fuel Use",_xlfn.XLOOKUP(I46,'Emission Factors'!$M$432:$M$787,'Emission Factors'!$U$432:$U$787))))</f>
        <v/>
      </c>
      <c r="X46" s="334" t="str">
        <f>IF(F46="Distance",1,IF(K46="","",IF(OR($K46="Litre",$K46="Tonne"),_xlfn.XLOOKUP(H46&amp;N46&amp;M46,Conversions!$E$20:$E$104,Conversions!$F$20:$F$104),INDEX(Conversions!$C$4:$I$10,MATCH('V3 - Upstream Transport'!$M46,Conversions!$B$4:$B$10,0),MATCH('V3 - Upstream Transport'!$N46,Conversions!$C$3:$I$3,0)))))</f>
        <v/>
      </c>
      <c r="Y46" s="310" t="str">
        <f>IF(K46="","",_xlfn.XLOOKUP(I46,'Emission Factors'!$M$432:$M$787,'Emission Factors'!$S$432:$S$787)*X46)</f>
        <v/>
      </c>
      <c r="Z46" s="311" t="str">
        <f t="shared" si="10"/>
        <v/>
      </c>
      <c r="AA46" s="128" t="str">
        <f t="shared" si="12"/>
        <v/>
      </c>
      <c r="AB46" s="306" t="str">
        <f>IF(L46="","",_xlfn.XLOOKUP(I46,'Emission Factors'!$M453:$M809,'Emission Factors'!$W453:$W809))</f>
        <v/>
      </c>
      <c r="AC46" s="67"/>
      <c r="AD46" s="151"/>
    </row>
    <row r="47" spans="2:30">
      <c r="B47" s="166"/>
      <c r="C47" s="173"/>
      <c r="D47" s="123"/>
      <c r="E47" s="136"/>
      <c r="F47" s="123"/>
      <c r="G47" s="131"/>
      <c r="H47" s="131"/>
      <c r="I47" s="132" t="str">
        <f t="shared" si="13"/>
        <v/>
      </c>
      <c r="J47" s="137"/>
      <c r="K47" s="131"/>
      <c r="L47" s="133"/>
      <c r="M47" s="108" t="str">
        <f t="shared" si="7"/>
        <v/>
      </c>
      <c r="N47" s="306" t="str" cm="1">
        <f t="array" ref="N47">IF(K47="","",IF(F47="Distance",_xlfn.XLOOKUP(I47&amp;K47,'Emission Factors'!$M$196:$M$352&amp;'Emission Factors'!$U$196:$U$352,'Emission Factors'!$U$196:$U$352),IF(F47="Fuel Use",_xlfn.XLOOKUP(I47,'Emission Factors'!$M$196:$M$352,'Emission Factors'!$U$196:$U$352))))</f>
        <v/>
      </c>
      <c r="O47" s="311" t="str">
        <f>IF(F47="Distance",1,IF(K47="","",IF(OR($K47="Litre",$K47="Tonne"),_xlfn.XLOOKUP(H47&amp;N47&amp;M47,Conversions!$E$20:$E$104,Conversions!$F$20:$F$104),INDEX(Conversions!$C$4:$I$10,MATCH('V3 - Upstream Transport'!$M47,Conversions!$B$4:$B$10,0),MATCH('V3 - Upstream Transport'!$N47,Conversions!$C$3:$I$3,0)))))</f>
        <v/>
      </c>
      <c r="P47" s="310" t="str" cm="1">
        <f t="array" ref="P47">IF(F47="Distance",_xlfn.XLOOKUP(I47&amp;K47,'Emission Factors'!$M:$M&amp;'Emission Factors'!$U:$U,'Emission Factors'!$T:$T),IF(K47="","",_xlfn.XLOOKUP(I47,'Emission Factors'!$M$196:$M$352,'Emission Factors'!$T$196:$T$352)*O47))</f>
        <v/>
      </c>
      <c r="Q47" s="311" t="str">
        <f t="shared" si="8"/>
        <v/>
      </c>
      <c r="R47" s="134" t="str">
        <f t="shared" si="11"/>
        <v/>
      </c>
      <c r="S47" s="306" t="str">
        <f>IF(K47="","",_xlfn.XLOOKUP(I47,'Emission Factors'!$M:$M,'Emission Factors'!$W:$W))</f>
        <v/>
      </c>
      <c r="T47" s="136"/>
      <c r="U47" s="67"/>
      <c r="V47" s="306" t="str">
        <f t="shared" si="9"/>
        <v/>
      </c>
      <c r="W47" s="306" t="str" cm="1">
        <f t="array" ref="W47">IF(K47="","",IF(F47="Distance",_xlfn.XLOOKUP(I47&amp;K47,'Emission Factors'!$M$432:$M$787&amp;'Emission Factors'!$U$432:$U$787,'Emission Factors'!$U$432:$U$787),IF(F47="Fuel Use",_xlfn.XLOOKUP(I47,'Emission Factors'!$M$432:$M$787,'Emission Factors'!$U$432:$U$787))))</f>
        <v/>
      </c>
      <c r="X47" s="334" t="str">
        <f>IF(F47="Distance",1,IF(K47="","",IF(OR($K47="Litre",$K47="Tonne"),_xlfn.XLOOKUP(H47&amp;N47&amp;M47,Conversions!$E$20:$E$104,Conversions!$F$20:$F$104),INDEX(Conversions!$C$4:$I$10,MATCH('V3 - Upstream Transport'!$M47,Conversions!$B$4:$B$10,0),MATCH('V3 - Upstream Transport'!$N47,Conversions!$C$3:$I$3,0)))))</f>
        <v/>
      </c>
      <c r="Y47" s="310" t="str">
        <f>IF(K47="","",_xlfn.XLOOKUP(I47,'Emission Factors'!$M$432:$M$787,'Emission Factors'!$S$432:$S$787)*X47)</f>
        <v/>
      </c>
      <c r="Z47" s="311" t="str">
        <f t="shared" si="10"/>
        <v/>
      </c>
      <c r="AA47" s="128" t="str">
        <f t="shared" si="12"/>
        <v/>
      </c>
      <c r="AB47" s="306" t="str">
        <f>IF(L47="","",_xlfn.XLOOKUP(I47,'Emission Factors'!$M454:$M810,'Emission Factors'!$W454:$W810))</f>
        <v/>
      </c>
      <c r="AC47" s="67"/>
      <c r="AD47" s="151"/>
    </row>
    <row r="48" spans="2:30">
      <c r="B48" s="166"/>
      <c r="C48" s="173"/>
      <c r="D48" s="123"/>
      <c r="E48" s="136"/>
      <c r="F48" s="123"/>
      <c r="G48" s="131"/>
      <c r="H48" s="131"/>
      <c r="I48" s="132" t="str">
        <f t="shared" si="13"/>
        <v/>
      </c>
      <c r="J48" s="137"/>
      <c r="K48" s="131"/>
      <c r="L48" s="133"/>
      <c r="M48" s="108" t="str">
        <f t="shared" si="7"/>
        <v/>
      </c>
      <c r="N48" s="306" t="str" cm="1">
        <f t="array" ref="N48">IF(K48="","",IF(F48="Distance",_xlfn.XLOOKUP(I48&amp;K48,'Emission Factors'!$M$196:$M$352&amp;'Emission Factors'!$U$196:$U$352,'Emission Factors'!$U$196:$U$352),IF(F48="Fuel Use",_xlfn.XLOOKUP(I48,'Emission Factors'!$M$196:$M$352,'Emission Factors'!$U$196:$U$352))))</f>
        <v/>
      </c>
      <c r="O48" s="311" t="str">
        <f>IF(F48="Distance",1,IF(K48="","",IF(OR($K48="Litre",$K48="Tonne"),_xlfn.XLOOKUP(H48&amp;N48&amp;M48,Conversions!$E$20:$E$104,Conversions!$F$20:$F$104),INDEX(Conversions!$C$4:$I$10,MATCH('V3 - Upstream Transport'!$M48,Conversions!$B$4:$B$10,0),MATCH('V3 - Upstream Transport'!$N48,Conversions!$C$3:$I$3,0)))))</f>
        <v/>
      </c>
      <c r="P48" s="310" t="str" cm="1">
        <f t="array" ref="P48">IF(F48="Distance",_xlfn.XLOOKUP(I48&amp;K48,'Emission Factors'!$M:$M&amp;'Emission Factors'!$U:$U,'Emission Factors'!$T:$T),IF(K48="","",_xlfn.XLOOKUP(I48,'Emission Factors'!$M$196:$M$352,'Emission Factors'!$T$196:$T$352)*O48))</f>
        <v/>
      </c>
      <c r="Q48" s="311" t="str">
        <f t="shared" si="8"/>
        <v/>
      </c>
      <c r="R48" s="134" t="str">
        <f t="shared" si="11"/>
        <v/>
      </c>
      <c r="S48" s="306" t="str">
        <f>IF(K48="","",_xlfn.XLOOKUP(I48,'Emission Factors'!$M:$M,'Emission Factors'!$W:$W))</f>
        <v/>
      </c>
      <c r="T48" s="136"/>
      <c r="U48" s="67"/>
      <c r="V48" s="306" t="str">
        <f t="shared" si="9"/>
        <v/>
      </c>
      <c r="W48" s="306" t="str" cm="1">
        <f t="array" ref="W48">IF(K48="","",IF(F48="Distance",_xlfn.XLOOKUP(I48&amp;K48,'Emission Factors'!$M$432:$M$787&amp;'Emission Factors'!$U$432:$U$787,'Emission Factors'!$U$432:$U$787),IF(F48="Fuel Use",_xlfn.XLOOKUP(I48,'Emission Factors'!$M$432:$M$787,'Emission Factors'!$U$432:$U$787))))</f>
        <v/>
      </c>
      <c r="X48" s="334" t="str">
        <f>IF(F48="Distance",1,IF(K48="","",IF(OR($K48="Litre",$K48="Tonne"),_xlfn.XLOOKUP(H48&amp;N48&amp;M48,Conversions!$E$20:$E$104,Conversions!$F$20:$F$104),INDEX(Conversions!$C$4:$I$10,MATCH('V3 - Upstream Transport'!$M48,Conversions!$B$4:$B$10,0),MATCH('V3 - Upstream Transport'!$N48,Conversions!$C$3:$I$3,0)))))</f>
        <v/>
      </c>
      <c r="Y48" s="310" t="str">
        <f>IF(K48="","",_xlfn.XLOOKUP(I48,'Emission Factors'!$M$432:$M$787,'Emission Factors'!$S$432:$S$787)*X48)</f>
        <v/>
      </c>
      <c r="Z48" s="311" t="str">
        <f t="shared" si="10"/>
        <v/>
      </c>
      <c r="AA48" s="128" t="str">
        <f t="shared" si="12"/>
        <v/>
      </c>
      <c r="AB48" s="306" t="str">
        <f>IF(L48="","",_xlfn.XLOOKUP(I48,'Emission Factors'!$M455:$M811,'Emission Factors'!$W455:$W811))</f>
        <v/>
      </c>
      <c r="AC48" s="67"/>
      <c r="AD48" s="151"/>
    </row>
    <row r="49" spans="2:30">
      <c r="B49" s="166"/>
      <c r="C49" s="173"/>
      <c r="D49" s="123"/>
      <c r="E49" s="136"/>
      <c r="F49" s="123"/>
      <c r="G49" s="131"/>
      <c r="H49" s="131"/>
      <c r="I49" s="132" t="str">
        <f t="shared" si="13"/>
        <v/>
      </c>
      <c r="J49" s="137"/>
      <c r="K49" s="131"/>
      <c r="L49" s="133"/>
      <c r="M49" s="108" t="str">
        <f t="shared" si="7"/>
        <v/>
      </c>
      <c r="N49" s="306" t="str" cm="1">
        <f t="array" ref="N49">IF(K49="","",IF(F49="Distance",_xlfn.XLOOKUP(I49&amp;K49,'Emission Factors'!$M$196:$M$352&amp;'Emission Factors'!$U$196:$U$352,'Emission Factors'!$U$196:$U$352),IF(F49="Fuel Use",_xlfn.XLOOKUP(I49,'Emission Factors'!$M$196:$M$352,'Emission Factors'!$U$196:$U$352))))</f>
        <v/>
      </c>
      <c r="O49" s="311" t="str">
        <f>IF(F49="Distance",1,IF(K49="","",IF(OR($K49="Litre",$K49="Tonne"),_xlfn.XLOOKUP(H49&amp;N49&amp;M49,Conversions!$E$20:$E$104,Conversions!$F$20:$F$104),INDEX(Conversions!$C$4:$I$10,MATCH('V3 - Upstream Transport'!$M49,Conversions!$B$4:$B$10,0),MATCH('V3 - Upstream Transport'!$N49,Conversions!$C$3:$I$3,0)))))</f>
        <v/>
      </c>
      <c r="P49" s="310" t="str" cm="1">
        <f t="array" ref="P49">IF(F49="Distance",_xlfn.XLOOKUP(I49&amp;K49,'Emission Factors'!$M:$M&amp;'Emission Factors'!$U:$U,'Emission Factors'!$T:$T),IF(K49="","",_xlfn.XLOOKUP(I49,'Emission Factors'!$M$196:$M$352,'Emission Factors'!$T$196:$T$352)*O49))</f>
        <v/>
      </c>
      <c r="Q49" s="311" t="str">
        <f t="shared" si="8"/>
        <v/>
      </c>
      <c r="R49" s="134" t="str">
        <f t="shared" si="11"/>
        <v/>
      </c>
      <c r="S49" s="306" t="str">
        <f>IF(K49="","",_xlfn.XLOOKUP(I49,'Emission Factors'!$M:$M,'Emission Factors'!$W:$W))</f>
        <v/>
      </c>
      <c r="T49" s="136"/>
      <c r="U49" s="67"/>
      <c r="V49" s="306" t="str">
        <f t="shared" si="9"/>
        <v/>
      </c>
      <c r="W49" s="306" t="str" cm="1">
        <f t="array" ref="W49">IF(K49="","",IF(F49="Distance",_xlfn.XLOOKUP(I49&amp;K49,'Emission Factors'!$M$432:$M$787&amp;'Emission Factors'!$U$432:$U$787,'Emission Factors'!$U$432:$U$787),IF(F49="Fuel Use",_xlfn.XLOOKUP(I49,'Emission Factors'!$M$432:$M$787,'Emission Factors'!$U$432:$U$787))))</f>
        <v/>
      </c>
      <c r="X49" s="334" t="str">
        <f>IF(F49="Distance",1,IF(K49="","",IF(OR($K49="Litre",$K49="Tonne"),_xlfn.XLOOKUP(H49&amp;N49&amp;M49,Conversions!$E$20:$E$104,Conversions!$F$20:$F$104),INDEX(Conversions!$C$4:$I$10,MATCH('V3 - Upstream Transport'!$M49,Conversions!$B$4:$B$10,0),MATCH('V3 - Upstream Transport'!$N49,Conversions!$C$3:$I$3,0)))))</f>
        <v/>
      </c>
      <c r="Y49" s="310" t="str">
        <f>IF(K49="","",_xlfn.XLOOKUP(I49,'Emission Factors'!$M$432:$M$787,'Emission Factors'!$S$432:$S$787)*X49)</f>
        <v/>
      </c>
      <c r="Z49" s="311" t="str">
        <f t="shared" si="10"/>
        <v/>
      </c>
      <c r="AA49" s="128" t="str">
        <f t="shared" si="12"/>
        <v/>
      </c>
      <c r="AB49" s="306" t="str">
        <f>IF(L49="","",_xlfn.XLOOKUP(I49,'Emission Factors'!$M456:$M812,'Emission Factors'!$W456:$W812))</f>
        <v/>
      </c>
      <c r="AC49" s="67"/>
      <c r="AD49" s="151"/>
    </row>
    <row r="50" spans="2:30">
      <c r="B50" s="166"/>
      <c r="C50" s="173"/>
      <c r="D50" s="123"/>
      <c r="E50" s="136"/>
      <c r="F50" s="123"/>
      <c r="G50" s="131"/>
      <c r="H50" s="131"/>
      <c r="I50" s="132" t="str">
        <f t="shared" si="13"/>
        <v/>
      </c>
      <c r="J50" s="137"/>
      <c r="K50" s="131"/>
      <c r="L50" s="133"/>
      <c r="M50" s="108" t="str">
        <f t="shared" si="7"/>
        <v/>
      </c>
      <c r="N50" s="306" t="str" cm="1">
        <f t="array" ref="N50">IF(K50="","",IF(F50="Distance",_xlfn.XLOOKUP(I50&amp;K50,'Emission Factors'!$M$196:$M$352&amp;'Emission Factors'!$U$196:$U$352,'Emission Factors'!$U$196:$U$352),IF(F50="Fuel Use",_xlfn.XLOOKUP(I50,'Emission Factors'!$M$196:$M$352,'Emission Factors'!$U$196:$U$352))))</f>
        <v/>
      </c>
      <c r="O50" s="311" t="str">
        <f>IF(F50="Distance",1,IF(K50="","",IF(OR($K50="Litre",$K50="Tonne"),_xlfn.XLOOKUP(H50&amp;N50&amp;M50,Conversions!$E$20:$E$104,Conversions!$F$20:$F$104),INDEX(Conversions!$C$4:$I$10,MATCH('V3 - Upstream Transport'!$M50,Conversions!$B$4:$B$10,0),MATCH('V3 - Upstream Transport'!$N50,Conversions!$C$3:$I$3,0)))))</f>
        <v/>
      </c>
      <c r="P50" s="310" t="str" cm="1">
        <f t="array" ref="P50">IF(F50="Distance",_xlfn.XLOOKUP(I50&amp;K50,'Emission Factors'!$M:$M&amp;'Emission Factors'!$U:$U,'Emission Factors'!$T:$T),IF(K50="","",_xlfn.XLOOKUP(I50,'Emission Factors'!$M$196:$M$352,'Emission Factors'!$T$196:$T$352)*O50))</f>
        <v/>
      </c>
      <c r="Q50" s="311" t="str">
        <f t="shared" si="8"/>
        <v/>
      </c>
      <c r="R50" s="134" t="str">
        <f t="shared" si="11"/>
        <v/>
      </c>
      <c r="S50" s="306" t="str">
        <f>IF(K50="","",_xlfn.XLOOKUP(I50,'Emission Factors'!$M:$M,'Emission Factors'!$W:$W))</f>
        <v/>
      </c>
      <c r="T50" s="136"/>
      <c r="U50" s="67"/>
      <c r="V50" s="306" t="str">
        <f t="shared" si="9"/>
        <v/>
      </c>
      <c r="W50" s="306" t="str" cm="1">
        <f t="array" ref="W50">IF(K50="","",IF(F50="Distance",_xlfn.XLOOKUP(I50&amp;K50,'Emission Factors'!$M$432:$M$787&amp;'Emission Factors'!$U$432:$U$787,'Emission Factors'!$U$432:$U$787),IF(F50="Fuel Use",_xlfn.XLOOKUP(I50,'Emission Factors'!$M$432:$M$787,'Emission Factors'!$U$432:$U$787))))</f>
        <v/>
      </c>
      <c r="X50" s="334" t="str">
        <f>IF(F50="Distance",1,IF(K50="","",IF(OR($K50="Litre",$K50="Tonne"),_xlfn.XLOOKUP(H50&amp;N50&amp;M50,Conversions!$E$20:$E$104,Conversions!$F$20:$F$104),INDEX(Conversions!$C$4:$I$10,MATCH('V3 - Upstream Transport'!$M50,Conversions!$B$4:$B$10,0),MATCH('V3 - Upstream Transport'!$N50,Conversions!$C$3:$I$3,0)))))</f>
        <v/>
      </c>
      <c r="Y50" s="310" t="str">
        <f>IF(K50="","",_xlfn.XLOOKUP(I50,'Emission Factors'!$M$432:$M$787,'Emission Factors'!$S$432:$S$787)*X50)</f>
        <v/>
      </c>
      <c r="Z50" s="311" t="str">
        <f t="shared" si="10"/>
        <v/>
      </c>
      <c r="AA50" s="128" t="str">
        <f t="shared" si="12"/>
        <v/>
      </c>
      <c r="AB50" s="306" t="str">
        <f>IF(L50="","",_xlfn.XLOOKUP(I50,'Emission Factors'!$M457:$M813,'Emission Factors'!$W457:$W813))</f>
        <v/>
      </c>
      <c r="AC50" s="67"/>
      <c r="AD50" s="151"/>
    </row>
    <row r="51" spans="2:30">
      <c r="B51" s="166"/>
      <c r="C51" s="173"/>
      <c r="D51" s="123"/>
      <c r="E51" s="136"/>
      <c r="F51" s="123"/>
      <c r="G51" s="131"/>
      <c r="H51" s="131"/>
      <c r="I51" s="132" t="str">
        <f t="shared" si="13"/>
        <v/>
      </c>
      <c r="J51" s="137"/>
      <c r="K51" s="131"/>
      <c r="L51" s="133"/>
      <c r="M51" s="108" t="str">
        <f t="shared" si="7"/>
        <v/>
      </c>
      <c r="N51" s="306" t="str" cm="1">
        <f t="array" ref="N51">IF(K51="","",IF(F51="Distance",_xlfn.XLOOKUP(I51&amp;K51,'Emission Factors'!$M$196:$M$352&amp;'Emission Factors'!$U$196:$U$352,'Emission Factors'!$U$196:$U$352),IF(F51="Fuel Use",_xlfn.XLOOKUP(I51,'Emission Factors'!$M$196:$M$352,'Emission Factors'!$U$196:$U$352))))</f>
        <v/>
      </c>
      <c r="O51" s="311" t="str">
        <f>IF(F51="Distance",1,IF(K51="","",IF(OR($K51="Litre",$K51="Tonne"),_xlfn.XLOOKUP(H51&amp;N51&amp;M51,Conversions!$E$20:$E$104,Conversions!$F$20:$F$104),INDEX(Conversions!$C$4:$I$10,MATCH('V3 - Upstream Transport'!$M51,Conversions!$B$4:$B$10,0),MATCH('V3 - Upstream Transport'!$N51,Conversions!$C$3:$I$3,0)))))</f>
        <v/>
      </c>
      <c r="P51" s="310" t="str" cm="1">
        <f t="array" ref="P51">IF(F51="Distance",_xlfn.XLOOKUP(I51&amp;K51,'Emission Factors'!$M:$M&amp;'Emission Factors'!$U:$U,'Emission Factors'!$T:$T),IF(K51="","",_xlfn.XLOOKUP(I51,'Emission Factors'!$M$196:$M$352,'Emission Factors'!$T$196:$T$352)*O51))</f>
        <v/>
      </c>
      <c r="Q51" s="311" t="str">
        <f t="shared" si="8"/>
        <v/>
      </c>
      <c r="R51" s="134" t="str">
        <f t="shared" si="11"/>
        <v/>
      </c>
      <c r="S51" s="306" t="str">
        <f>IF(K51="","",_xlfn.XLOOKUP(I51,'Emission Factors'!$M:$M,'Emission Factors'!$W:$W))</f>
        <v/>
      </c>
      <c r="T51" s="136"/>
      <c r="U51" s="67"/>
      <c r="V51" s="306" t="str">
        <f t="shared" si="9"/>
        <v/>
      </c>
      <c r="W51" s="306" t="str" cm="1">
        <f t="array" ref="W51">IF(K51="","",IF(F51="Distance",_xlfn.XLOOKUP(I51&amp;K51,'Emission Factors'!$M$432:$M$787&amp;'Emission Factors'!$U$432:$U$787,'Emission Factors'!$U$432:$U$787),IF(F51="Fuel Use",_xlfn.XLOOKUP(I51,'Emission Factors'!$M$432:$M$787,'Emission Factors'!$U$432:$U$787))))</f>
        <v/>
      </c>
      <c r="X51" s="334" t="str">
        <f>IF(F51="Distance",1,IF(K51="","",IF(OR($K51="Litre",$K51="Tonne"),_xlfn.XLOOKUP(H51&amp;N51&amp;M51,Conversions!$E$20:$E$104,Conversions!$F$20:$F$104),INDEX(Conversions!$C$4:$I$10,MATCH('V3 - Upstream Transport'!$M51,Conversions!$B$4:$B$10,0),MATCH('V3 - Upstream Transport'!$N51,Conversions!$C$3:$I$3,0)))))</f>
        <v/>
      </c>
      <c r="Y51" s="310" t="str">
        <f>IF(K51="","",_xlfn.XLOOKUP(I51,'Emission Factors'!$M$432:$M$787,'Emission Factors'!$S$432:$S$787)*X51)</f>
        <v/>
      </c>
      <c r="Z51" s="311" t="str">
        <f t="shared" si="10"/>
        <v/>
      </c>
      <c r="AA51" s="128" t="str">
        <f t="shared" si="12"/>
        <v/>
      </c>
      <c r="AB51" s="306" t="str">
        <f>IF(L51="","",_xlfn.XLOOKUP(I51,'Emission Factors'!$M458:$M814,'Emission Factors'!$W458:$W814))</f>
        <v/>
      </c>
      <c r="AC51" s="67"/>
      <c r="AD51" s="151"/>
    </row>
    <row r="52" spans="2:30">
      <c r="B52" s="166"/>
      <c r="C52" s="173"/>
      <c r="D52" s="123"/>
      <c r="E52" s="136"/>
      <c r="F52" s="123"/>
      <c r="G52" s="131"/>
      <c r="H52" s="131"/>
      <c r="I52" s="132" t="str">
        <f t="shared" si="13"/>
        <v/>
      </c>
      <c r="J52" s="137"/>
      <c r="K52" s="131"/>
      <c r="L52" s="133"/>
      <c r="M52" s="108" t="str">
        <f t="shared" si="7"/>
        <v/>
      </c>
      <c r="N52" s="306" t="str" cm="1">
        <f t="array" ref="N52">IF(K52="","",IF(F52="Distance",_xlfn.XLOOKUP(I52&amp;K52,'Emission Factors'!$M$196:$M$352&amp;'Emission Factors'!$U$196:$U$352,'Emission Factors'!$U$196:$U$352),IF(F52="Fuel Use",_xlfn.XLOOKUP(I52,'Emission Factors'!$M$196:$M$352,'Emission Factors'!$U$196:$U$352))))</f>
        <v/>
      </c>
      <c r="O52" s="311" t="str">
        <f>IF(F52="Distance",1,IF(K52="","",IF(OR($K52="Litre",$K52="Tonne"),_xlfn.XLOOKUP(H52&amp;N52&amp;M52,Conversions!$E$20:$E$104,Conversions!$F$20:$F$104),INDEX(Conversions!$C$4:$I$10,MATCH('V3 - Upstream Transport'!$M52,Conversions!$B$4:$B$10,0),MATCH('V3 - Upstream Transport'!$N52,Conversions!$C$3:$I$3,0)))))</f>
        <v/>
      </c>
      <c r="P52" s="310" t="str" cm="1">
        <f t="array" ref="P52">IF(F52="Distance",_xlfn.XLOOKUP(I52&amp;K52,'Emission Factors'!$M:$M&amp;'Emission Factors'!$U:$U,'Emission Factors'!$T:$T),IF(K52="","",_xlfn.XLOOKUP(I52,'Emission Factors'!$M$196:$M$352,'Emission Factors'!$T$196:$T$352)*O52))</f>
        <v/>
      </c>
      <c r="Q52" s="311" t="str">
        <f t="shared" si="8"/>
        <v/>
      </c>
      <c r="R52" s="134" t="str">
        <f t="shared" si="11"/>
        <v/>
      </c>
      <c r="S52" s="306" t="str">
        <f>IF(K52="","",_xlfn.XLOOKUP(I52,'Emission Factors'!$M:$M,'Emission Factors'!$W:$W))</f>
        <v/>
      </c>
      <c r="T52" s="136"/>
      <c r="U52" s="67"/>
      <c r="V52" s="306" t="str">
        <f t="shared" si="9"/>
        <v/>
      </c>
      <c r="W52" s="306" t="str" cm="1">
        <f t="array" ref="W52">IF(K52="","",IF(F52="Distance",_xlfn.XLOOKUP(I52&amp;K52,'Emission Factors'!$M$432:$M$787&amp;'Emission Factors'!$U$432:$U$787,'Emission Factors'!$U$432:$U$787),IF(F52="Fuel Use",_xlfn.XLOOKUP(I52,'Emission Factors'!$M$432:$M$787,'Emission Factors'!$U$432:$U$787))))</f>
        <v/>
      </c>
      <c r="X52" s="334" t="str">
        <f>IF(F52="Distance",1,IF(K52="","",IF(OR($K52="Litre",$K52="Tonne"),_xlfn.XLOOKUP(H52&amp;N52&amp;M52,Conversions!$E$20:$E$104,Conversions!$F$20:$F$104),INDEX(Conversions!$C$4:$I$10,MATCH('V3 - Upstream Transport'!$M52,Conversions!$B$4:$B$10,0),MATCH('V3 - Upstream Transport'!$N52,Conversions!$C$3:$I$3,0)))))</f>
        <v/>
      </c>
      <c r="Y52" s="310" t="str">
        <f>IF(K52="","",_xlfn.XLOOKUP(I52,'Emission Factors'!$M$432:$M$787,'Emission Factors'!$S$432:$S$787)*X52)</f>
        <v/>
      </c>
      <c r="Z52" s="311" t="str">
        <f t="shared" si="10"/>
        <v/>
      </c>
      <c r="AA52" s="128" t="str">
        <f t="shared" si="12"/>
        <v/>
      </c>
      <c r="AB52" s="306" t="str">
        <f>IF(L52="","",_xlfn.XLOOKUP(I52,'Emission Factors'!$M459:$M815,'Emission Factors'!$W459:$W815))</f>
        <v/>
      </c>
      <c r="AC52" s="67"/>
      <c r="AD52" s="151"/>
    </row>
    <row r="53" spans="2:30">
      <c r="B53" s="166"/>
      <c r="C53" s="173"/>
      <c r="D53" s="123"/>
      <c r="E53" s="136"/>
      <c r="F53" s="123"/>
      <c r="G53" s="131"/>
      <c r="H53" s="131"/>
      <c r="I53" s="132" t="str">
        <f t="shared" si="13"/>
        <v/>
      </c>
      <c r="J53" s="137"/>
      <c r="K53" s="131"/>
      <c r="L53" s="133"/>
      <c r="M53" s="108" t="str">
        <f t="shared" si="7"/>
        <v/>
      </c>
      <c r="N53" s="306" t="str" cm="1">
        <f t="array" ref="N53">IF(K53="","",IF(F53="Distance",_xlfn.XLOOKUP(I53&amp;K53,'Emission Factors'!$M$196:$M$352&amp;'Emission Factors'!$U$196:$U$352,'Emission Factors'!$U$196:$U$352),IF(F53="Fuel Use",_xlfn.XLOOKUP(I53,'Emission Factors'!$M$196:$M$352,'Emission Factors'!$U$196:$U$352))))</f>
        <v/>
      </c>
      <c r="O53" s="311" t="str">
        <f>IF(F53="Distance",1,IF(K53="","",IF(OR($K53="Litre",$K53="Tonne"),_xlfn.XLOOKUP(H53&amp;N53&amp;M53,Conversions!$E$20:$E$104,Conversions!$F$20:$F$104),INDEX(Conversions!$C$4:$I$10,MATCH('V3 - Upstream Transport'!$M53,Conversions!$B$4:$B$10,0),MATCH('V3 - Upstream Transport'!$N53,Conversions!$C$3:$I$3,0)))))</f>
        <v/>
      </c>
      <c r="P53" s="310" t="str" cm="1">
        <f t="array" ref="P53">IF(F53="Distance",_xlfn.XLOOKUP(I53&amp;K53,'Emission Factors'!$M:$M&amp;'Emission Factors'!$U:$U,'Emission Factors'!$T:$T),IF(K53="","",_xlfn.XLOOKUP(I53,'Emission Factors'!$M$196:$M$352,'Emission Factors'!$T$196:$T$352)*O53))</f>
        <v/>
      </c>
      <c r="Q53" s="311" t="str">
        <f t="shared" si="8"/>
        <v/>
      </c>
      <c r="R53" s="134" t="str">
        <f t="shared" si="11"/>
        <v/>
      </c>
      <c r="S53" s="306" t="str">
        <f>IF(K53="","",_xlfn.XLOOKUP(I53,'Emission Factors'!$M:$M,'Emission Factors'!$W:$W))</f>
        <v/>
      </c>
      <c r="T53" s="136"/>
      <c r="U53" s="67"/>
      <c r="V53" s="306" t="str">
        <f t="shared" si="9"/>
        <v/>
      </c>
      <c r="W53" s="306" t="str" cm="1">
        <f t="array" ref="W53">IF(K53="","",IF(F53="Distance",_xlfn.XLOOKUP(I53&amp;K53,'Emission Factors'!$M$432:$M$787&amp;'Emission Factors'!$U$432:$U$787,'Emission Factors'!$U$432:$U$787),IF(F53="Fuel Use",_xlfn.XLOOKUP(I53,'Emission Factors'!$M$432:$M$787,'Emission Factors'!$U$432:$U$787))))</f>
        <v/>
      </c>
      <c r="X53" s="334" t="str">
        <f>IF(F53="Distance",1,IF(K53="","",IF(OR($K53="Litre",$K53="Tonne"),_xlfn.XLOOKUP(H53&amp;N53&amp;M53,Conversions!$E$20:$E$104,Conversions!$F$20:$F$104),INDEX(Conversions!$C$4:$I$10,MATCH('V3 - Upstream Transport'!$M53,Conversions!$B$4:$B$10,0),MATCH('V3 - Upstream Transport'!$N53,Conversions!$C$3:$I$3,0)))))</f>
        <v/>
      </c>
      <c r="Y53" s="310" t="str">
        <f>IF(K53="","",_xlfn.XLOOKUP(I53,'Emission Factors'!$M$432:$M$787,'Emission Factors'!$S$432:$S$787)*X53)</f>
        <v/>
      </c>
      <c r="Z53" s="311" t="str">
        <f t="shared" si="10"/>
        <v/>
      </c>
      <c r="AA53" s="128" t="str">
        <f t="shared" si="12"/>
        <v/>
      </c>
      <c r="AB53" s="306" t="str">
        <f>IF(L53="","",_xlfn.XLOOKUP(I53,'Emission Factors'!$M460:$M816,'Emission Factors'!$W460:$W816))</f>
        <v/>
      </c>
      <c r="AC53" s="67"/>
      <c r="AD53" s="151"/>
    </row>
    <row r="54" spans="2:30">
      <c r="B54" s="166"/>
      <c r="C54" s="173"/>
      <c r="D54" s="123"/>
      <c r="E54" s="136"/>
      <c r="F54" s="123"/>
      <c r="G54" s="131"/>
      <c r="H54" s="131"/>
      <c r="I54" s="132" t="str">
        <f t="shared" si="13"/>
        <v/>
      </c>
      <c r="J54" s="137"/>
      <c r="K54" s="131"/>
      <c r="L54" s="133"/>
      <c r="M54" s="108" t="str">
        <f t="shared" si="7"/>
        <v/>
      </c>
      <c r="N54" s="306" t="str" cm="1">
        <f t="array" ref="N54">IF(K54="","",IF(F54="Distance",_xlfn.XLOOKUP(I54&amp;K54,'Emission Factors'!$M$196:$M$352&amp;'Emission Factors'!$U$196:$U$352,'Emission Factors'!$U$196:$U$352),IF(F54="Fuel Use",_xlfn.XLOOKUP(I54,'Emission Factors'!$M$196:$M$352,'Emission Factors'!$U$196:$U$352))))</f>
        <v/>
      </c>
      <c r="O54" s="311" t="str">
        <f>IF(F54="Distance",1,IF(K54="","",IF(OR($K54="Litre",$K54="Tonne"),_xlfn.XLOOKUP(H54&amp;N54&amp;M54,Conversions!$E$20:$E$104,Conversions!$F$20:$F$104),INDEX(Conversions!$C$4:$I$10,MATCH('V3 - Upstream Transport'!$M54,Conversions!$B$4:$B$10,0),MATCH('V3 - Upstream Transport'!$N54,Conversions!$C$3:$I$3,0)))))</f>
        <v/>
      </c>
      <c r="P54" s="310" t="str" cm="1">
        <f t="array" ref="P54">IF(F54="Distance",_xlfn.XLOOKUP(I54&amp;K54,'Emission Factors'!$M:$M&amp;'Emission Factors'!$U:$U,'Emission Factors'!$T:$T),IF(K54="","",_xlfn.XLOOKUP(I54,'Emission Factors'!$M$196:$M$352,'Emission Factors'!$T$196:$T$352)*O54))</f>
        <v/>
      </c>
      <c r="Q54" s="311" t="str">
        <f t="shared" si="8"/>
        <v/>
      </c>
      <c r="R54" s="134" t="str">
        <f t="shared" si="11"/>
        <v/>
      </c>
      <c r="S54" s="306" t="str">
        <f>IF(K54="","",_xlfn.XLOOKUP(I54,'Emission Factors'!$M:$M,'Emission Factors'!$W:$W))</f>
        <v/>
      </c>
      <c r="T54" s="136"/>
      <c r="U54" s="67"/>
      <c r="V54" s="306" t="str">
        <f t="shared" si="9"/>
        <v/>
      </c>
      <c r="W54" s="306" t="str" cm="1">
        <f t="array" ref="W54">IF(K54="","",IF(F54="Distance",_xlfn.XLOOKUP(I54&amp;K54,'Emission Factors'!$M$432:$M$787&amp;'Emission Factors'!$U$432:$U$787,'Emission Factors'!$U$432:$U$787),IF(F54="Fuel Use",_xlfn.XLOOKUP(I54,'Emission Factors'!$M$432:$M$787,'Emission Factors'!$U$432:$U$787))))</f>
        <v/>
      </c>
      <c r="X54" s="334" t="str">
        <f>IF(F54="Distance",1,IF(K54="","",IF(OR($K54="Litre",$K54="Tonne"),_xlfn.XLOOKUP(H54&amp;N54&amp;M54,Conversions!$E$20:$E$104,Conversions!$F$20:$F$104),INDEX(Conversions!$C$4:$I$10,MATCH('V3 - Upstream Transport'!$M54,Conversions!$B$4:$B$10,0),MATCH('V3 - Upstream Transport'!$N54,Conversions!$C$3:$I$3,0)))))</f>
        <v/>
      </c>
      <c r="Y54" s="310" t="str">
        <f>IF(K54="","",_xlfn.XLOOKUP(I54,'Emission Factors'!$M$432:$M$787,'Emission Factors'!$S$432:$S$787)*X54)</f>
        <v/>
      </c>
      <c r="Z54" s="311" t="str">
        <f t="shared" si="10"/>
        <v/>
      </c>
      <c r="AA54" s="128" t="str">
        <f t="shared" si="12"/>
        <v/>
      </c>
      <c r="AB54" s="306" t="str">
        <f>IF(L54="","",_xlfn.XLOOKUP(I54,'Emission Factors'!$M461:$M817,'Emission Factors'!$W461:$W817))</f>
        <v/>
      </c>
      <c r="AC54" s="67"/>
      <c r="AD54" s="151"/>
    </row>
    <row r="55" spans="2:30">
      <c r="B55" s="166"/>
      <c r="C55" s="173"/>
      <c r="D55" s="123"/>
      <c r="E55" s="136"/>
      <c r="F55" s="123"/>
      <c r="G55" s="131"/>
      <c r="H55" s="131"/>
      <c r="I55" s="132" t="str">
        <f t="shared" si="13"/>
        <v/>
      </c>
      <c r="J55" s="137"/>
      <c r="K55" s="131"/>
      <c r="L55" s="133"/>
      <c r="M55" s="108" t="str">
        <f t="shared" si="7"/>
        <v/>
      </c>
      <c r="N55" s="306" t="str" cm="1">
        <f t="array" ref="N55">IF(K55="","",IF(F55="Distance",_xlfn.XLOOKUP(I55&amp;K55,'Emission Factors'!$M$196:$M$352&amp;'Emission Factors'!$U$196:$U$352,'Emission Factors'!$U$196:$U$352),IF(F55="Fuel Use",_xlfn.XLOOKUP(I55,'Emission Factors'!$M$196:$M$352,'Emission Factors'!$U$196:$U$352))))</f>
        <v/>
      </c>
      <c r="O55" s="311" t="str">
        <f>IF(F55="Distance",1,IF(K55="","",IF(OR($K55="Litre",$K55="Tonne"),_xlfn.XLOOKUP(H55&amp;N55&amp;M55,Conversions!$E$20:$E$104,Conversions!$F$20:$F$104),INDEX(Conversions!$C$4:$I$10,MATCH('V3 - Upstream Transport'!$M55,Conversions!$B$4:$B$10,0),MATCH('V3 - Upstream Transport'!$N55,Conversions!$C$3:$I$3,0)))))</f>
        <v/>
      </c>
      <c r="P55" s="310" t="str" cm="1">
        <f t="array" ref="P55">IF(F55="Distance",_xlfn.XLOOKUP(I55&amp;K55,'Emission Factors'!$M:$M&amp;'Emission Factors'!$U:$U,'Emission Factors'!$T:$T),IF(K55="","",_xlfn.XLOOKUP(I55,'Emission Factors'!$M$196:$M$352,'Emission Factors'!$T$196:$T$352)*O55))</f>
        <v/>
      </c>
      <c r="Q55" s="311" t="str">
        <f t="shared" si="8"/>
        <v/>
      </c>
      <c r="R55" s="134" t="str">
        <f t="shared" si="11"/>
        <v/>
      </c>
      <c r="S55" s="306" t="str">
        <f>IF(K55="","",_xlfn.XLOOKUP(I55,'Emission Factors'!$M:$M,'Emission Factors'!$W:$W))</f>
        <v/>
      </c>
      <c r="T55" s="136"/>
      <c r="U55" s="67"/>
      <c r="V55" s="306" t="str">
        <f t="shared" si="9"/>
        <v/>
      </c>
      <c r="W55" s="306" t="str" cm="1">
        <f t="array" ref="W55">IF(K55="","",IF(F55="Distance",_xlfn.XLOOKUP(I55&amp;K55,'Emission Factors'!$M$432:$M$787&amp;'Emission Factors'!$U$432:$U$787,'Emission Factors'!$U$432:$U$787),IF(F55="Fuel Use",_xlfn.XLOOKUP(I55,'Emission Factors'!$M$432:$M$787,'Emission Factors'!$U$432:$U$787))))</f>
        <v/>
      </c>
      <c r="X55" s="334" t="str">
        <f>IF(F55="Distance",1,IF(K55="","",IF(OR($K55="Litre",$K55="Tonne"),_xlfn.XLOOKUP(H55&amp;N55&amp;M55,Conversions!$E$20:$E$104,Conversions!$F$20:$F$104),INDEX(Conversions!$C$4:$I$10,MATCH('V3 - Upstream Transport'!$M55,Conversions!$B$4:$B$10,0),MATCH('V3 - Upstream Transport'!$N55,Conversions!$C$3:$I$3,0)))))</f>
        <v/>
      </c>
      <c r="Y55" s="310" t="str">
        <f>IF(K55="","",_xlfn.XLOOKUP(I55,'Emission Factors'!$M$432:$M$787,'Emission Factors'!$S$432:$S$787)*X55)</f>
        <v/>
      </c>
      <c r="Z55" s="311" t="str">
        <f t="shared" si="10"/>
        <v/>
      </c>
      <c r="AA55" s="128" t="str">
        <f t="shared" si="12"/>
        <v/>
      </c>
      <c r="AB55" s="306" t="str">
        <f>IF(L55="","",_xlfn.XLOOKUP(I55,'Emission Factors'!$M462:$M818,'Emission Factors'!$W462:$W818))</f>
        <v/>
      </c>
      <c r="AC55" s="67"/>
      <c r="AD55" s="151"/>
    </row>
    <row r="56" spans="2:30">
      <c r="B56" s="166"/>
      <c r="C56" s="173"/>
      <c r="D56" s="123"/>
      <c r="E56" s="136"/>
      <c r="F56" s="123"/>
      <c r="G56" s="131"/>
      <c r="H56" s="131"/>
      <c r="I56" s="132" t="str">
        <f t="shared" si="13"/>
        <v/>
      </c>
      <c r="J56" s="137"/>
      <c r="K56" s="131"/>
      <c r="L56" s="133"/>
      <c r="M56" s="108" t="str">
        <f t="shared" si="7"/>
        <v/>
      </c>
      <c r="N56" s="306" t="str" cm="1">
        <f t="array" ref="N56">IF(K56="","",IF(F56="Distance",_xlfn.XLOOKUP(I56&amp;K56,'Emission Factors'!$M$196:$M$352&amp;'Emission Factors'!$U$196:$U$352,'Emission Factors'!$U$196:$U$352),IF(F56="Fuel Use",_xlfn.XLOOKUP(I56,'Emission Factors'!$M$196:$M$352,'Emission Factors'!$U$196:$U$352))))</f>
        <v/>
      </c>
      <c r="O56" s="311" t="str">
        <f>IF(F56="Distance",1,IF(K56="","",IF(OR($K56="Litre",$K56="Tonne"),_xlfn.XLOOKUP(H56&amp;N56&amp;M56,Conversions!$E$20:$E$104,Conversions!$F$20:$F$104),INDEX(Conversions!$C$4:$I$10,MATCH('V3 - Upstream Transport'!$M56,Conversions!$B$4:$B$10,0),MATCH('V3 - Upstream Transport'!$N56,Conversions!$C$3:$I$3,0)))))</f>
        <v/>
      </c>
      <c r="P56" s="310" t="str" cm="1">
        <f t="array" ref="P56">IF(F56="Distance",_xlfn.XLOOKUP(I56&amp;K56,'Emission Factors'!$M:$M&amp;'Emission Factors'!$U:$U,'Emission Factors'!$T:$T),IF(K56="","",_xlfn.XLOOKUP(I56,'Emission Factors'!$M$196:$M$352,'Emission Factors'!$T$196:$T$352)*O56))</f>
        <v/>
      </c>
      <c r="Q56" s="311" t="str">
        <f t="shared" si="8"/>
        <v/>
      </c>
      <c r="R56" s="134" t="str">
        <f t="shared" si="11"/>
        <v/>
      </c>
      <c r="S56" s="306" t="str">
        <f>IF(K56="","",_xlfn.XLOOKUP(I56,'Emission Factors'!$M:$M,'Emission Factors'!$W:$W))</f>
        <v/>
      </c>
      <c r="T56" s="136"/>
      <c r="U56" s="67"/>
      <c r="V56" s="306" t="str">
        <f t="shared" si="9"/>
        <v/>
      </c>
      <c r="W56" s="306" t="str" cm="1">
        <f t="array" ref="W56">IF(K56="","",IF(F56="Distance",_xlfn.XLOOKUP(I56&amp;K56,'Emission Factors'!$M$432:$M$787&amp;'Emission Factors'!$U$432:$U$787,'Emission Factors'!$U$432:$U$787),IF(F56="Fuel Use",_xlfn.XLOOKUP(I56,'Emission Factors'!$M$432:$M$787,'Emission Factors'!$U$432:$U$787))))</f>
        <v/>
      </c>
      <c r="X56" s="334" t="str">
        <f>IF(F56="Distance",1,IF(K56="","",IF(OR($K56="Litre",$K56="Tonne"),_xlfn.XLOOKUP(H56&amp;N56&amp;M56,Conversions!$E$20:$E$104,Conversions!$F$20:$F$104),INDEX(Conversions!$C$4:$I$10,MATCH('V3 - Upstream Transport'!$M56,Conversions!$B$4:$B$10,0),MATCH('V3 - Upstream Transport'!$N56,Conversions!$C$3:$I$3,0)))))</f>
        <v/>
      </c>
      <c r="Y56" s="310" t="str">
        <f>IF(K56="","",_xlfn.XLOOKUP(I56,'Emission Factors'!$M$432:$M$787,'Emission Factors'!$S$432:$S$787)*X56)</f>
        <v/>
      </c>
      <c r="Z56" s="311" t="str">
        <f t="shared" si="10"/>
        <v/>
      </c>
      <c r="AA56" s="128" t="str">
        <f t="shared" si="12"/>
        <v/>
      </c>
      <c r="AB56" s="306" t="str">
        <f>IF(L56="","",_xlfn.XLOOKUP(I56,'Emission Factors'!$M463:$M819,'Emission Factors'!$W463:$W819))</f>
        <v/>
      </c>
      <c r="AC56" s="67"/>
      <c r="AD56" s="151"/>
    </row>
    <row r="57" spans="2:30">
      <c r="B57" s="166"/>
      <c r="C57" s="173"/>
      <c r="D57" s="123"/>
      <c r="E57" s="136"/>
      <c r="F57" s="123"/>
      <c r="G57" s="131"/>
      <c r="H57" s="131"/>
      <c r="I57" s="132" t="str">
        <f t="shared" si="13"/>
        <v/>
      </c>
      <c r="J57" s="137"/>
      <c r="K57" s="131"/>
      <c r="L57" s="133"/>
      <c r="M57" s="108" t="str">
        <f t="shared" si="7"/>
        <v/>
      </c>
      <c r="N57" s="306" t="str" cm="1">
        <f t="array" ref="N57">IF(K57="","",IF(F57="Distance",_xlfn.XLOOKUP(I57&amp;K57,'Emission Factors'!$M$196:$M$352&amp;'Emission Factors'!$U$196:$U$352,'Emission Factors'!$U$196:$U$352),IF(F57="Fuel Use",_xlfn.XLOOKUP(I57,'Emission Factors'!$M$196:$M$352,'Emission Factors'!$U$196:$U$352))))</f>
        <v/>
      </c>
      <c r="O57" s="311" t="str">
        <f>IF(F57="Distance",1,IF(K57="","",IF(OR($K57="Litre",$K57="Tonne"),_xlfn.XLOOKUP(H57&amp;N57&amp;M57,Conversions!$E$20:$E$104,Conversions!$F$20:$F$104),INDEX(Conversions!$C$4:$I$10,MATCH('V3 - Upstream Transport'!$M57,Conversions!$B$4:$B$10,0),MATCH('V3 - Upstream Transport'!$N57,Conversions!$C$3:$I$3,0)))))</f>
        <v/>
      </c>
      <c r="P57" s="310" t="str" cm="1">
        <f t="array" ref="P57">IF(F57="Distance",_xlfn.XLOOKUP(I57&amp;K57,'Emission Factors'!$M:$M&amp;'Emission Factors'!$U:$U,'Emission Factors'!$T:$T),IF(K57="","",_xlfn.XLOOKUP(I57,'Emission Factors'!$M$196:$M$352,'Emission Factors'!$T$196:$T$352)*O57))</f>
        <v/>
      </c>
      <c r="Q57" s="311" t="str">
        <f t="shared" si="8"/>
        <v/>
      </c>
      <c r="R57" s="134" t="str">
        <f t="shared" si="11"/>
        <v/>
      </c>
      <c r="S57" s="306" t="str">
        <f>IF(K57="","",_xlfn.XLOOKUP(I57,'Emission Factors'!$M:$M,'Emission Factors'!$W:$W))</f>
        <v/>
      </c>
      <c r="T57" s="136"/>
      <c r="U57" s="67"/>
      <c r="V57" s="306" t="str">
        <f t="shared" si="9"/>
        <v/>
      </c>
      <c r="W57" s="306" t="str" cm="1">
        <f t="array" ref="W57">IF(K57="","",IF(F57="Distance",_xlfn.XLOOKUP(I57&amp;K57,'Emission Factors'!$M$432:$M$787&amp;'Emission Factors'!$U$432:$U$787,'Emission Factors'!$U$432:$U$787),IF(F57="Fuel Use",_xlfn.XLOOKUP(I57,'Emission Factors'!$M$432:$M$787,'Emission Factors'!$U$432:$U$787))))</f>
        <v/>
      </c>
      <c r="X57" s="334" t="str">
        <f>IF(F57="Distance",1,IF(K57="","",IF(OR($K57="Litre",$K57="Tonne"),_xlfn.XLOOKUP(H57&amp;N57&amp;M57,Conversions!$E$20:$E$104,Conversions!$F$20:$F$104),INDEX(Conversions!$C$4:$I$10,MATCH('V3 - Upstream Transport'!$M57,Conversions!$B$4:$B$10,0),MATCH('V3 - Upstream Transport'!$N57,Conversions!$C$3:$I$3,0)))))</f>
        <v/>
      </c>
      <c r="Y57" s="310" t="str">
        <f>IF(K57="","",_xlfn.XLOOKUP(I57,'Emission Factors'!$M$432:$M$787,'Emission Factors'!$S$432:$S$787)*X57)</f>
        <v/>
      </c>
      <c r="Z57" s="311" t="str">
        <f t="shared" si="10"/>
        <v/>
      </c>
      <c r="AA57" s="128" t="str">
        <f t="shared" si="12"/>
        <v/>
      </c>
      <c r="AB57" s="306" t="str">
        <f>IF(L57="","",_xlfn.XLOOKUP(I57,'Emission Factors'!$M464:$M820,'Emission Factors'!$W464:$W820))</f>
        <v/>
      </c>
      <c r="AC57" s="67"/>
      <c r="AD57" s="151"/>
    </row>
    <row r="58" spans="2:30">
      <c r="B58" s="166"/>
      <c r="C58" s="173"/>
      <c r="D58" s="123"/>
      <c r="E58" s="136"/>
      <c r="F58" s="123"/>
      <c r="G58" s="131"/>
      <c r="H58" s="131"/>
      <c r="I58" s="132" t="str">
        <f t="shared" si="13"/>
        <v/>
      </c>
      <c r="J58" s="137"/>
      <c r="K58" s="131"/>
      <c r="L58" s="133"/>
      <c r="M58" s="108" t="str">
        <f t="shared" si="7"/>
        <v/>
      </c>
      <c r="N58" s="306" t="str" cm="1">
        <f t="array" ref="N58">IF(K58="","",IF(F58="Distance",_xlfn.XLOOKUP(I58&amp;K58,'Emission Factors'!$M$196:$M$352&amp;'Emission Factors'!$U$196:$U$352,'Emission Factors'!$U$196:$U$352),IF(F58="Fuel Use",_xlfn.XLOOKUP(I58,'Emission Factors'!$M$196:$M$352,'Emission Factors'!$U$196:$U$352))))</f>
        <v/>
      </c>
      <c r="O58" s="311" t="str">
        <f>IF(F58="Distance",1,IF(K58="","",IF(OR($K58="Litre",$K58="Tonne"),_xlfn.XLOOKUP(H58&amp;N58&amp;M58,Conversions!$E$20:$E$104,Conversions!$F$20:$F$104),INDEX(Conversions!$C$4:$I$10,MATCH('V3 - Upstream Transport'!$M58,Conversions!$B$4:$B$10,0),MATCH('V3 - Upstream Transport'!$N58,Conversions!$C$3:$I$3,0)))))</f>
        <v/>
      </c>
      <c r="P58" s="310" t="str" cm="1">
        <f t="array" ref="P58">IF(F58="Distance",_xlfn.XLOOKUP(I58&amp;K58,'Emission Factors'!$M:$M&amp;'Emission Factors'!$U:$U,'Emission Factors'!$T:$T),IF(K58="","",_xlfn.XLOOKUP(I58,'Emission Factors'!$M$196:$M$352,'Emission Factors'!$T$196:$T$352)*O58))</f>
        <v/>
      </c>
      <c r="Q58" s="311" t="str">
        <f t="shared" si="8"/>
        <v/>
      </c>
      <c r="R58" s="134" t="str">
        <f t="shared" si="11"/>
        <v/>
      </c>
      <c r="S58" s="306" t="str">
        <f>IF(K58="","",_xlfn.XLOOKUP(I58,'Emission Factors'!$M:$M,'Emission Factors'!$W:$W))</f>
        <v/>
      </c>
      <c r="T58" s="136"/>
      <c r="U58" s="67"/>
      <c r="V58" s="306" t="str">
        <f t="shared" si="9"/>
        <v/>
      </c>
      <c r="W58" s="306" t="str" cm="1">
        <f t="array" ref="W58">IF(K58="","",IF(F58="Distance",_xlfn.XLOOKUP(I58&amp;K58,'Emission Factors'!$M$432:$M$787&amp;'Emission Factors'!$U$432:$U$787,'Emission Factors'!$U$432:$U$787),IF(F58="Fuel Use",_xlfn.XLOOKUP(I58,'Emission Factors'!$M$432:$M$787,'Emission Factors'!$U$432:$U$787))))</f>
        <v/>
      </c>
      <c r="X58" s="334" t="str">
        <f>IF(F58="Distance",1,IF(K58="","",IF(OR($K58="Litre",$K58="Tonne"),_xlfn.XLOOKUP(H58&amp;N58&amp;M58,Conversions!$E$20:$E$104,Conversions!$F$20:$F$104),INDEX(Conversions!$C$4:$I$10,MATCH('V3 - Upstream Transport'!$M58,Conversions!$B$4:$B$10,0),MATCH('V3 - Upstream Transport'!$N58,Conversions!$C$3:$I$3,0)))))</f>
        <v/>
      </c>
      <c r="Y58" s="310" t="str">
        <f>IF(K58="","",_xlfn.XLOOKUP(I58,'Emission Factors'!$M$432:$M$787,'Emission Factors'!$S$432:$S$787)*X58)</f>
        <v/>
      </c>
      <c r="Z58" s="311" t="str">
        <f t="shared" si="10"/>
        <v/>
      </c>
      <c r="AA58" s="128" t="str">
        <f t="shared" si="12"/>
        <v/>
      </c>
      <c r="AB58" s="306" t="str">
        <f>IF(L58="","",_xlfn.XLOOKUP(I58,'Emission Factors'!$M465:$M821,'Emission Factors'!$W465:$W821))</f>
        <v/>
      </c>
      <c r="AC58" s="67"/>
      <c r="AD58" s="151"/>
    </row>
    <row r="59" spans="2:30">
      <c r="B59" s="166"/>
      <c r="C59" s="173"/>
      <c r="D59" s="123"/>
      <c r="E59" s="136"/>
      <c r="F59" s="123"/>
      <c r="G59" s="131"/>
      <c r="H59" s="131"/>
      <c r="I59" s="132" t="str">
        <f t="shared" si="13"/>
        <v/>
      </c>
      <c r="J59" s="137"/>
      <c r="K59" s="131"/>
      <c r="L59" s="133"/>
      <c r="M59" s="108" t="str">
        <f t="shared" si="7"/>
        <v/>
      </c>
      <c r="N59" s="306" t="str" cm="1">
        <f t="array" ref="N59">IF(K59="","",IF(F59="Distance",_xlfn.XLOOKUP(I59&amp;K59,'Emission Factors'!$M$196:$M$352&amp;'Emission Factors'!$U$196:$U$352,'Emission Factors'!$U$196:$U$352),IF(F59="Fuel Use",_xlfn.XLOOKUP(I59,'Emission Factors'!$M$196:$M$352,'Emission Factors'!$U$196:$U$352))))</f>
        <v/>
      </c>
      <c r="O59" s="311" t="str">
        <f>IF(F59="Distance",1,IF(K59="","",IF(OR($K59="Litre",$K59="Tonne"),_xlfn.XLOOKUP(H59&amp;N59&amp;M59,Conversions!$E$20:$E$104,Conversions!$F$20:$F$104),INDEX(Conversions!$C$4:$I$10,MATCH('V3 - Upstream Transport'!$M59,Conversions!$B$4:$B$10,0),MATCH('V3 - Upstream Transport'!$N59,Conversions!$C$3:$I$3,0)))))</f>
        <v/>
      </c>
      <c r="P59" s="310" t="str" cm="1">
        <f t="array" ref="P59">IF(F59="Distance",_xlfn.XLOOKUP(I59&amp;K59,'Emission Factors'!$M:$M&amp;'Emission Factors'!$U:$U,'Emission Factors'!$T:$T),IF(K59="","",_xlfn.XLOOKUP(I59,'Emission Factors'!$M$196:$M$352,'Emission Factors'!$T$196:$T$352)*O59))</f>
        <v/>
      </c>
      <c r="Q59" s="311" t="str">
        <f t="shared" si="8"/>
        <v/>
      </c>
      <c r="R59" s="134" t="str">
        <f t="shared" si="11"/>
        <v/>
      </c>
      <c r="S59" s="306" t="str">
        <f>IF(K59="","",_xlfn.XLOOKUP(I59,'Emission Factors'!$M:$M,'Emission Factors'!$W:$W))</f>
        <v/>
      </c>
      <c r="T59" s="136"/>
      <c r="U59" s="67"/>
      <c r="V59" s="306" t="str">
        <f t="shared" si="9"/>
        <v/>
      </c>
      <c r="W59" s="306" t="str" cm="1">
        <f t="array" ref="W59">IF(K59="","",IF(F59="Distance",_xlfn.XLOOKUP(I59&amp;K59,'Emission Factors'!$M$432:$M$787&amp;'Emission Factors'!$U$432:$U$787,'Emission Factors'!$U$432:$U$787),IF(F59="Fuel Use",_xlfn.XLOOKUP(I59,'Emission Factors'!$M$432:$M$787,'Emission Factors'!$U$432:$U$787))))</f>
        <v/>
      </c>
      <c r="X59" s="334" t="str">
        <f>IF(F59="Distance",1,IF(K59="","",IF(OR($K59="Litre",$K59="Tonne"),_xlfn.XLOOKUP(H59&amp;N59&amp;M59,Conversions!$E$20:$E$104,Conversions!$F$20:$F$104),INDEX(Conversions!$C$4:$I$10,MATCH('V3 - Upstream Transport'!$M59,Conversions!$B$4:$B$10,0),MATCH('V3 - Upstream Transport'!$N59,Conversions!$C$3:$I$3,0)))))</f>
        <v/>
      </c>
      <c r="Y59" s="310" t="str">
        <f>IF(K59="","",_xlfn.XLOOKUP(I59,'Emission Factors'!$M$432:$M$787,'Emission Factors'!$S$432:$S$787)*X59)</f>
        <v/>
      </c>
      <c r="Z59" s="311" t="str">
        <f t="shared" si="10"/>
        <v/>
      </c>
      <c r="AA59" s="128" t="str">
        <f t="shared" si="12"/>
        <v/>
      </c>
      <c r="AB59" s="306" t="str">
        <f>IF(L59="","",_xlfn.XLOOKUP(I59,'Emission Factors'!$M466:$M822,'Emission Factors'!$W466:$W822))</f>
        <v/>
      </c>
      <c r="AC59" s="67"/>
      <c r="AD59" s="151"/>
    </row>
    <row r="60" spans="2:30">
      <c r="B60" s="166"/>
      <c r="C60" s="173"/>
      <c r="D60" s="123"/>
      <c r="E60" s="136"/>
      <c r="F60" s="123"/>
      <c r="G60" s="131"/>
      <c r="H60" s="131"/>
      <c r="I60" s="132" t="str">
        <f t="shared" ref="I60" si="14">H60&amp;G60</f>
        <v/>
      </c>
      <c r="J60" s="137"/>
      <c r="K60" s="131"/>
      <c r="L60" s="133"/>
      <c r="M60" s="108" t="str">
        <f t="shared" si="7"/>
        <v/>
      </c>
      <c r="N60" s="306" t="str" cm="1">
        <f t="array" ref="N60">IF(K60="","",IF(F60="Distance",_xlfn.XLOOKUP(I60&amp;K60,'Emission Factors'!$M$196:$M$352&amp;'Emission Factors'!$U$196:$U$352,'Emission Factors'!$U$196:$U$352),IF(F60="Fuel Use",_xlfn.XLOOKUP(I60,'Emission Factors'!$M$196:$M$352,'Emission Factors'!$U$196:$U$352))))</f>
        <v/>
      </c>
      <c r="O60" s="311" t="str">
        <f>IF(F60="Distance",1,IF(K60="","",IF(OR($K60="Litre",$K60="Tonne"),_xlfn.XLOOKUP(H60&amp;N60&amp;M60,Conversions!$E$20:$E$104,Conversions!$F$20:$F$104),INDEX(Conversions!$C$4:$I$10,MATCH('V3 - Upstream Transport'!$M60,Conversions!$B$4:$B$10,0),MATCH('V3 - Upstream Transport'!$N60,Conversions!$C$3:$I$3,0)))))</f>
        <v/>
      </c>
      <c r="P60" s="310" t="str" cm="1">
        <f t="array" ref="P60">IF(F60="Distance",_xlfn.XLOOKUP(I60&amp;K60,'Emission Factors'!$M:$M&amp;'Emission Factors'!$U:$U,'Emission Factors'!$T:$T),IF(K60="","",_xlfn.XLOOKUP(I60,'Emission Factors'!$M$196:$M$352,'Emission Factors'!$T$196:$T$352)*O60))</f>
        <v/>
      </c>
      <c r="Q60" s="311" t="str">
        <f t="shared" si="8"/>
        <v/>
      </c>
      <c r="R60" s="134" t="str">
        <f t="shared" si="11"/>
        <v/>
      </c>
      <c r="S60" s="306" t="str">
        <f>IF(K60="","",_xlfn.XLOOKUP(I60,'Emission Factors'!$M:$M,'Emission Factors'!$W:$W))</f>
        <v/>
      </c>
      <c r="T60" s="136"/>
      <c r="U60" s="67"/>
      <c r="V60" s="306" t="str">
        <f t="shared" si="9"/>
        <v/>
      </c>
      <c r="W60" s="306" t="str" cm="1">
        <f t="array" ref="W60">IF(K60="","",IF(F60="Distance",_xlfn.XLOOKUP(I60&amp;K60,'Emission Factors'!$M$432:$M$787&amp;'Emission Factors'!$U$432:$U$787,'Emission Factors'!$U$432:$U$787),IF(F60="Fuel Use",_xlfn.XLOOKUP(I60,'Emission Factors'!$M$432:$M$787,'Emission Factors'!$U$432:$U$787))))</f>
        <v/>
      </c>
      <c r="X60" s="334" t="str">
        <f>IF(F60="Distance",1,IF(K60="","",IF(OR($K60="Litre",$K60="Tonne"),_xlfn.XLOOKUP(H60&amp;N60&amp;M60,Conversions!$E$20:$E$104,Conversions!$F$20:$F$104),INDEX(Conversions!$C$4:$I$10,MATCH('V3 - Upstream Transport'!$M60,Conversions!$B$4:$B$10,0),MATCH('V3 - Upstream Transport'!$N60,Conversions!$C$3:$I$3,0)))))</f>
        <v/>
      </c>
      <c r="Y60" s="310" t="str">
        <f>IF(K60="","",_xlfn.XLOOKUP(I60,'Emission Factors'!$M$432:$M$787,'Emission Factors'!$S$432:$S$787)*X60)</f>
        <v/>
      </c>
      <c r="Z60" s="311" t="str">
        <f t="shared" si="10"/>
        <v/>
      </c>
      <c r="AA60" s="128" t="str">
        <f t="shared" si="12"/>
        <v/>
      </c>
      <c r="AB60" s="306" t="str">
        <f>IF(L60="","",_xlfn.XLOOKUP(I60,'Emission Factors'!$M467:$M823,'Emission Factors'!$W467:$W823))</f>
        <v/>
      </c>
      <c r="AC60" s="67"/>
      <c r="AD60" s="151"/>
    </row>
    <row r="61" spans="2:30">
      <c r="B61" s="166"/>
      <c r="C61" s="173"/>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151"/>
    </row>
    <row r="62" spans="2:30" ht="15.75">
      <c r="B62" s="166"/>
      <c r="C62" s="173"/>
      <c r="D62" s="351" t="str">
        <f>'V2 - District Heating'!D63</f>
        <v>Samanlagt</v>
      </c>
      <c r="E62" s="175"/>
      <c r="F62" s="175"/>
      <c r="G62" s="175"/>
      <c r="H62" s="175"/>
      <c r="I62" s="175"/>
      <c r="J62" s="175"/>
      <c r="K62" s="175"/>
      <c r="L62" s="175"/>
      <c r="M62" s="175"/>
      <c r="N62" s="175"/>
      <c r="O62" s="175"/>
      <c r="P62" s="175"/>
      <c r="Q62" s="175"/>
      <c r="R62" s="176">
        <f>SUM($R$31:$R$60)</f>
        <v>0</v>
      </c>
      <c r="S62" s="175"/>
      <c r="T62" s="175"/>
      <c r="U62" s="67"/>
      <c r="V62" s="82"/>
      <c r="W62" s="82"/>
      <c r="X62" s="82"/>
      <c r="Y62" s="82"/>
      <c r="Z62" s="82"/>
      <c r="AA62" s="177">
        <f>SUM($AA$31:$AA$60)</f>
        <v>0</v>
      </c>
      <c r="AB62" s="82"/>
      <c r="AC62" s="67"/>
      <c r="AD62" s="151"/>
    </row>
    <row r="63" spans="2:30">
      <c r="B63" s="166"/>
      <c r="C63" s="173"/>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1"/>
    </row>
    <row r="64" spans="2:30" hidden="1">
      <c r="B64" s="166"/>
      <c r="C64" s="173"/>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1"/>
    </row>
    <row r="65" spans="2:30" ht="48.6" hidden="1" customHeight="1">
      <c r="B65" s="166"/>
      <c r="C65" s="173"/>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51"/>
    </row>
    <row r="66" spans="2:30" hidden="1">
      <c r="B66" s="166"/>
      <c r="C66" s="173"/>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51"/>
    </row>
    <row r="67" spans="2:30" hidden="1">
      <c r="B67" s="166"/>
      <c r="C67" s="173"/>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51"/>
    </row>
    <row r="68" spans="2:30" hidden="1">
      <c r="B68" s="166"/>
      <c r="C68" s="173"/>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51"/>
    </row>
    <row r="69" spans="2:30" hidden="1">
      <c r="B69" s="166"/>
      <c r="C69" s="173"/>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151"/>
    </row>
    <row r="70" spans="2:30" hidden="1">
      <c r="B70" s="166"/>
      <c r="C70" s="173"/>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151"/>
    </row>
    <row r="71" spans="2:30" hidden="1">
      <c r="B71" s="166"/>
      <c r="C71" s="173"/>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151"/>
    </row>
    <row r="72" spans="2:30" hidden="1">
      <c r="B72" s="166"/>
      <c r="C72" s="173"/>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151"/>
    </row>
    <row r="73" spans="2:30" hidden="1">
      <c r="B73" s="166"/>
      <c r="C73" s="173"/>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51"/>
    </row>
    <row r="74" spans="2:30" hidden="1">
      <c r="B74" s="166"/>
      <c r="C74" s="173"/>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151"/>
    </row>
    <row r="75" spans="2:30" hidden="1">
      <c r="B75" s="166"/>
      <c r="C75" s="173"/>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51"/>
    </row>
    <row r="76" spans="2:30" hidden="1">
      <c r="B76" s="166"/>
      <c r="C76" s="173"/>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51"/>
    </row>
    <row r="77" spans="2:30" hidden="1">
      <c r="B77" s="166"/>
      <c r="C77" s="173"/>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51"/>
    </row>
    <row r="78" spans="2:30" hidden="1">
      <c r="B78" s="166"/>
      <c r="C78" s="173"/>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51"/>
    </row>
    <row r="79" spans="2:30" hidden="1">
      <c r="B79" s="166"/>
      <c r="C79" s="173"/>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51"/>
    </row>
    <row r="80" spans="2:30" hidden="1">
      <c r="B80" s="166"/>
      <c r="C80" s="173"/>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51"/>
    </row>
    <row r="81" spans="2:30" hidden="1">
      <c r="B81" s="166"/>
      <c r="C81" s="173"/>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51"/>
    </row>
    <row r="82" spans="2:30" hidden="1">
      <c r="B82" s="166"/>
      <c r="C82" s="173"/>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51"/>
    </row>
    <row r="83" spans="2:30" hidden="1">
      <c r="B83" s="166"/>
      <c r="C83" s="173"/>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51"/>
    </row>
    <row r="84" spans="2:30" hidden="1">
      <c r="B84" s="166"/>
      <c r="C84" s="173"/>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51"/>
    </row>
    <row r="85" spans="2:30" hidden="1">
      <c r="B85" s="166"/>
      <c r="C85" s="173"/>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51"/>
    </row>
    <row r="86" spans="2:30" hidden="1">
      <c r="B86" s="166"/>
      <c r="C86" s="173"/>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51"/>
    </row>
    <row r="87" spans="2:30" hidden="1">
      <c r="B87" s="166"/>
      <c r="C87" s="173"/>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51"/>
    </row>
    <row r="88" spans="2:30" hidden="1">
      <c r="B88" s="166"/>
      <c r="C88" s="173"/>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51"/>
    </row>
    <row r="89" spans="2:30" hidden="1">
      <c r="B89" s="166"/>
      <c r="C89" s="173"/>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51"/>
    </row>
    <row r="90" spans="2:30" hidden="1">
      <c r="B90" s="166"/>
      <c r="C90" s="173"/>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51"/>
    </row>
    <row r="91" spans="2:30" hidden="1">
      <c r="B91" s="166"/>
      <c r="C91" s="173"/>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51"/>
    </row>
    <row r="92" spans="2:30" hidden="1">
      <c r="B92" s="166"/>
      <c r="C92" s="173"/>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51"/>
    </row>
    <row r="93" spans="2:30" hidden="1">
      <c r="B93" s="166"/>
      <c r="C93" s="173"/>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51"/>
    </row>
    <row r="94" spans="2:30" hidden="1">
      <c r="B94" s="166"/>
      <c r="C94" s="173"/>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51"/>
    </row>
    <row r="95" spans="2:30" hidden="1">
      <c r="B95" s="166"/>
      <c r="C95" s="173"/>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51"/>
    </row>
    <row r="96" spans="2:30" hidden="1">
      <c r="B96" s="166"/>
      <c r="C96" s="173"/>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1"/>
    </row>
    <row r="97" spans="2:30" hidden="1">
      <c r="B97" s="166"/>
      <c r="C97" s="173"/>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51"/>
    </row>
    <row r="98" spans="2:30" hidden="1">
      <c r="B98" s="166"/>
      <c r="C98" s="173"/>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1"/>
    </row>
    <row r="99" spans="2:30" hidden="1">
      <c r="B99" s="166"/>
      <c r="C99" s="173"/>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51"/>
    </row>
    <row r="100" spans="2:30">
      <c r="B100" s="166"/>
      <c r="C100" s="173"/>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1"/>
    </row>
    <row r="101" spans="2:30">
      <c r="B101" s="166"/>
      <c r="C101" s="173"/>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1"/>
    </row>
    <row r="102" spans="2:30">
      <c r="B102" s="166"/>
      <c r="C102" s="17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1"/>
    </row>
    <row r="103" spans="2:30">
      <c r="B103" s="166"/>
      <c r="C103" s="173"/>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1"/>
    </row>
    <row r="104" spans="2:30">
      <c r="B104" s="166"/>
      <c r="C104" s="173"/>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1"/>
    </row>
  </sheetData>
  <sheetProtection algorithmName="SHA-512" hashValue="mZPtc6wnfviJXBEWiXIWr1s+Yb/6/8sKAi5KB4BYuci33j1V2/qGFt69xAvoqMrILLz6iwrViRN47CfdYw51Ig==" saltValue="DiXZ3jOoHKRSK4NoSzKVEw==" spinCount="100000" sheet="1" objects="1" scenarios="1"/>
  <dataConsolidate/>
  <mergeCells count="7">
    <mergeCell ref="D29:T29"/>
    <mergeCell ref="V22:AB22"/>
    <mergeCell ref="D4:T11"/>
    <mergeCell ref="D12:T12"/>
    <mergeCell ref="D22:T22"/>
    <mergeCell ref="D14:L14"/>
    <mergeCell ref="D15:L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F57288DB-3A08-424E-BE7A-678AE05F73B8}">
          <x14:formula1>
            <xm:f>Dropdown!$AC$3:$AC$4</xm:f>
          </x14:formula1>
          <xm:sqref>F24:F25 F31:F60</xm:sqref>
        </x14:dataValidation>
        <x14:dataValidation type="list" allowBlank="1" showInputMessage="1" showErrorMessage="1" xr:uid="{FD478320-64BC-467B-9A67-595DF4D8F1F6}">
          <x14:formula1>
            <xm:f>Dropdown!$AB$3:$AB$6</xm:f>
          </x14:formula1>
          <xm:sqref>F24:F25 F31:F60</xm:sqref>
        </x14:dataValidation>
        <x14:dataValidation type="list" allowBlank="1" showInputMessage="1" showErrorMessage="1" xr:uid="{11FE7DB6-7816-4812-9A1F-38B497734C11}">
          <x14:formula1>
            <xm:f>IF(F24="Fuel Use",Dropdown!$AI$3:$AI$22,Dropdown!$AR$3:$AR$8)</xm:f>
          </x14:formula1>
          <xm:sqref>G24:G25 G31:G60</xm:sqref>
        </x14:dataValidation>
        <x14:dataValidation type="list" allowBlank="1" showInputMessage="1" showErrorMessage="1" xr:uid="{9B2E964F-37F9-4791-B338-3AB558A2E143}">
          <x14:formula1>
            <xm:f>'Organisation Details'!$G$33:$G$58</xm:f>
          </x14:formula1>
          <xm:sqref>D31:D60</xm:sqref>
        </x14:dataValidation>
        <x14:dataValidation type="list" allowBlank="1" showInputMessage="1" showErrorMessage="1" xr:uid="{6F1D0B1C-B3F2-499B-83B5-55CF4ED4DA92}">
          <x14:formula1>
            <xm:f>Dropdown!$C$3:$C$7</xm:f>
          </x14:formula1>
          <xm:sqref>D24:D25</xm:sqref>
        </x14:dataValidation>
        <x14:dataValidation type="list" allowBlank="1" showInputMessage="1" showErrorMessage="1" xr:uid="{BD0AB71D-FE4E-442B-B705-9D5AD7DBBFFD}">
          <x14:formula1>
            <xm:f>IF(F24="Fuel Use",Dropdown!$F$3:$F$11,IF(F24="Distance",INDIRECT(_xlfn.XLOOKUP(G24,Dropdown!$AO$3:$AO$14,Dropdown!$AP$3:$AP$14))))</xm:f>
          </x14:formula1>
          <xm:sqref>K31:K60 K24:K25</xm:sqref>
        </x14:dataValidation>
        <x14:dataValidation type="list" allowBlank="1" showInputMessage="1" showErrorMessage="1" xr:uid="{1FF7629D-A901-4ED9-8641-C053FC73BE88}">
          <x14:formula1>
            <xm:f>IF(F24="Fuel Use",INDIRECT(_xlfn.XLOOKUP(G24,Dropdown!$AF$3:$AF$50,Dropdown!$AG$3:$AG$50)),IF(F24="Distance",INDIRECT(_xlfn.XLOOKUP(G24,Dropdown!$AL$3:$AL$40,Dropdown!$AM$3:$AM$40))))</xm:f>
          </x14:formula1>
          <xm:sqref>H24:H25 H31:H60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DC87-3DC5-4E8C-8455-9CFCDC3854F6}">
  <sheetPr codeName="Sheet11">
    <tabColor rgb="FF9C86CD"/>
  </sheetPr>
  <dimension ref="A1:AD104"/>
  <sheetViews>
    <sheetView showGridLines="0" showRowColHeaders="0" topLeftCell="B2" zoomScale="75" zoomScaleNormal="75" workbookViewId="0">
      <selection activeCell="N19" sqref="N19"/>
    </sheetView>
  </sheetViews>
  <sheetFormatPr defaultColWidth="0" defaultRowHeight="14.25" zeroHeight="1"/>
  <cols>
    <col min="1" max="1" width="55.140625" style="71" hidden="1" customWidth="1"/>
    <col min="2" max="2" width="4.28515625" style="71" customWidth="1"/>
    <col min="3" max="3" width="4.7109375" style="178" customWidth="1"/>
    <col min="4" max="4" width="36.28515625" style="71" customWidth="1"/>
    <col min="5" max="5" width="44.28515625" style="71" customWidth="1"/>
    <col min="6" max="6" width="21.28515625" style="71" customWidth="1"/>
    <col min="7" max="7" width="34.7109375" style="71" customWidth="1"/>
    <col min="8" max="8" width="30.7109375" style="71" customWidth="1"/>
    <col min="9" max="9" width="12.7109375" style="71" hidden="1" customWidth="1"/>
    <col min="10" max="10" width="19.7109375" style="71" customWidth="1"/>
    <col min="11" max="11" width="22.140625" style="71" customWidth="1"/>
    <col min="12" max="12" width="30.85546875" style="71" customWidth="1"/>
    <col min="13" max="13" width="10.28515625" style="71" hidden="1" customWidth="1"/>
    <col min="14" max="14" width="30.85546875" style="71" customWidth="1"/>
    <col min="15" max="16" width="20.85546875" style="71" customWidth="1"/>
    <col min="17" max="17" width="24" style="71" customWidth="1"/>
    <col min="18" max="18" width="35.85546875" style="71" customWidth="1"/>
    <col min="19" max="19" width="130.7109375" style="71" customWidth="1"/>
    <col min="20" max="20" width="43.42578125" style="71" customWidth="1"/>
    <col min="21" max="22" width="14" style="71" customWidth="1"/>
    <col min="23" max="23" width="30.85546875" style="71" customWidth="1"/>
    <col min="24" max="25" width="20.7109375" style="71" customWidth="1"/>
    <col min="26" max="26" width="25.85546875" style="71" customWidth="1"/>
    <col min="27" max="27" width="30.7109375" style="71" customWidth="1"/>
    <col min="28" max="28" width="120.7109375" style="71" customWidth="1"/>
    <col min="29" max="29" width="14" style="71" customWidth="1"/>
    <col min="30" max="30" width="115.7109375" style="179" customWidth="1"/>
    <col min="31" max="16384" width="14" style="71" hidden="1"/>
  </cols>
  <sheetData>
    <row r="1" spans="1:30" ht="14.1" hidden="1" customHeight="1">
      <c r="C1" s="71"/>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row>
    <row r="2" spans="1:30" ht="13.5" customHeight="1">
      <c r="A2" s="71" t="str">
        <f>Introduction!$E$14</f>
        <v>Føroyskt</v>
      </c>
      <c r="B2" s="167"/>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row>
    <row r="3" spans="1:30">
      <c r="B3" s="166"/>
      <c r="C3" s="169"/>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1"/>
    </row>
    <row r="4" spans="1:30" ht="5.0999999999999996" customHeight="1">
      <c r="A4" s="168" t="s">
        <v>0</v>
      </c>
      <c r="B4" s="172"/>
      <c r="C4" s="173"/>
      <c r="D4" s="418" t="str">
        <f>IF($A$2="English",_xlfn.XLOOKUP($A$4,Descriptions!$A:$A,Descriptions!$B:$B),_xlfn.XLOOKUP($A$4,Descriptions!$A:$A,Descriptions!$C:$C))</f>
        <v>Føroyskur CO2-roknari. Ár: 2023</v>
      </c>
      <c r="E4" s="418"/>
      <c r="F4" s="418"/>
      <c r="G4" s="418"/>
      <c r="H4" s="418"/>
      <c r="I4" s="418"/>
      <c r="J4" s="418"/>
      <c r="K4" s="418"/>
      <c r="L4" s="418"/>
      <c r="M4" s="418"/>
      <c r="N4" s="418"/>
      <c r="O4" s="418"/>
      <c r="P4" s="418"/>
      <c r="Q4" s="418"/>
      <c r="R4" s="418"/>
      <c r="S4" s="418"/>
      <c r="T4" s="418"/>
      <c r="U4" s="67"/>
      <c r="V4" s="67"/>
      <c r="W4" s="67"/>
      <c r="X4" s="67"/>
      <c r="Y4" s="67"/>
      <c r="Z4" s="67"/>
      <c r="AA4" s="67"/>
      <c r="AB4" s="67"/>
      <c r="AC4" s="67"/>
      <c r="AD4" s="151"/>
    </row>
    <row r="5" spans="1:30" ht="5.0999999999999996" customHeight="1">
      <c r="A5" s="71" t="s">
        <v>109</v>
      </c>
      <c r="B5" s="166"/>
      <c r="C5" s="173"/>
      <c r="D5" s="418"/>
      <c r="E5" s="418"/>
      <c r="F5" s="418"/>
      <c r="G5" s="418"/>
      <c r="H5" s="418"/>
      <c r="I5" s="418"/>
      <c r="J5" s="418"/>
      <c r="K5" s="418"/>
      <c r="L5" s="418"/>
      <c r="M5" s="418"/>
      <c r="N5" s="418"/>
      <c r="O5" s="418"/>
      <c r="P5" s="418"/>
      <c r="Q5" s="418"/>
      <c r="R5" s="418"/>
      <c r="S5" s="418"/>
      <c r="T5" s="418"/>
      <c r="U5" s="67"/>
      <c r="V5" s="67"/>
      <c r="W5" s="67"/>
      <c r="X5" s="67"/>
      <c r="Y5" s="67"/>
      <c r="Z5" s="67"/>
      <c r="AA5" s="67"/>
      <c r="AB5" s="67"/>
      <c r="AC5" s="67"/>
      <c r="AD5" s="151"/>
    </row>
    <row r="6" spans="1:30" ht="5.0999999999999996" customHeight="1">
      <c r="A6" s="71" t="s">
        <v>253</v>
      </c>
      <c r="B6" s="166"/>
      <c r="C6" s="173"/>
      <c r="D6" s="418"/>
      <c r="E6" s="418"/>
      <c r="F6" s="418"/>
      <c r="G6" s="418"/>
      <c r="H6" s="418"/>
      <c r="I6" s="418"/>
      <c r="J6" s="418"/>
      <c r="K6" s="418"/>
      <c r="L6" s="418"/>
      <c r="M6" s="418"/>
      <c r="N6" s="418"/>
      <c r="O6" s="418"/>
      <c r="P6" s="418"/>
      <c r="Q6" s="418"/>
      <c r="R6" s="418"/>
      <c r="S6" s="418"/>
      <c r="T6" s="418"/>
      <c r="U6" s="67"/>
      <c r="V6" s="67"/>
      <c r="W6" s="67"/>
      <c r="X6" s="67"/>
      <c r="Y6" s="67"/>
      <c r="Z6" s="67"/>
      <c r="AA6" s="67"/>
      <c r="AB6" s="67"/>
      <c r="AC6" s="67"/>
      <c r="AD6" s="151"/>
    </row>
    <row r="7" spans="1:30" ht="5.0999999999999996" customHeight="1">
      <c r="A7" s="71" t="s">
        <v>242</v>
      </c>
      <c r="B7" s="166"/>
      <c r="C7" s="173"/>
      <c r="D7" s="418"/>
      <c r="E7" s="418"/>
      <c r="F7" s="418"/>
      <c r="G7" s="418"/>
      <c r="H7" s="418"/>
      <c r="I7" s="418"/>
      <c r="J7" s="418"/>
      <c r="K7" s="418"/>
      <c r="L7" s="418"/>
      <c r="M7" s="418"/>
      <c r="N7" s="418"/>
      <c r="O7" s="418"/>
      <c r="P7" s="418"/>
      <c r="Q7" s="418"/>
      <c r="R7" s="418"/>
      <c r="S7" s="418"/>
      <c r="T7" s="418"/>
      <c r="U7" s="67"/>
      <c r="V7" s="67"/>
      <c r="W7" s="67"/>
      <c r="X7" s="67"/>
      <c r="Y7" s="67"/>
      <c r="Z7" s="67"/>
      <c r="AA7" s="67"/>
      <c r="AB7" s="67"/>
      <c r="AC7" s="67"/>
      <c r="AD7" s="151"/>
    </row>
    <row r="8" spans="1:30" ht="5.0999999999999996" customHeight="1">
      <c r="A8" s="71" t="s">
        <v>243</v>
      </c>
      <c r="B8" s="166"/>
      <c r="C8" s="173"/>
      <c r="D8" s="418"/>
      <c r="E8" s="418"/>
      <c r="F8" s="418"/>
      <c r="G8" s="418"/>
      <c r="H8" s="418"/>
      <c r="I8" s="418"/>
      <c r="J8" s="418"/>
      <c r="K8" s="418"/>
      <c r="L8" s="418"/>
      <c r="M8" s="418"/>
      <c r="N8" s="418"/>
      <c r="O8" s="418"/>
      <c r="P8" s="418"/>
      <c r="Q8" s="418"/>
      <c r="R8" s="418"/>
      <c r="S8" s="418"/>
      <c r="T8" s="418"/>
      <c r="U8" s="67"/>
      <c r="V8" s="67"/>
      <c r="W8" s="67"/>
      <c r="X8" s="67"/>
      <c r="Y8" s="67"/>
      <c r="Z8" s="67"/>
      <c r="AA8" s="67"/>
      <c r="AB8" s="67"/>
      <c r="AC8" s="67"/>
      <c r="AD8" s="151"/>
    </row>
    <row r="9" spans="1:30" ht="5.0999999999999996" customHeight="1">
      <c r="A9" s="71" t="s">
        <v>244</v>
      </c>
      <c r="B9" s="166"/>
      <c r="C9" s="173"/>
      <c r="D9" s="418"/>
      <c r="E9" s="418"/>
      <c r="F9" s="418"/>
      <c r="G9" s="418"/>
      <c r="H9" s="418"/>
      <c r="I9" s="418"/>
      <c r="J9" s="418"/>
      <c r="K9" s="418"/>
      <c r="L9" s="418"/>
      <c r="M9" s="418"/>
      <c r="N9" s="418"/>
      <c r="O9" s="418"/>
      <c r="P9" s="418"/>
      <c r="Q9" s="418"/>
      <c r="R9" s="418"/>
      <c r="S9" s="418"/>
      <c r="T9" s="418"/>
      <c r="U9" s="67"/>
      <c r="V9" s="67"/>
      <c r="W9" s="67"/>
      <c r="X9" s="67"/>
      <c r="Y9" s="67"/>
      <c r="Z9" s="67"/>
      <c r="AA9" s="67"/>
      <c r="AB9" s="67"/>
      <c r="AC9" s="67"/>
      <c r="AD9" s="151"/>
    </row>
    <row r="10" spans="1:30" ht="5.0999999999999996" customHeight="1">
      <c r="A10" s="71" t="s">
        <v>252</v>
      </c>
      <c r="B10" s="166"/>
      <c r="C10" s="173"/>
      <c r="D10" s="418"/>
      <c r="E10" s="418"/>
      <c r="F10" s="418"/>
      <c r="G10" s="418"/>
      <c r="H10" s="418"/>
      <c r="I10" s="418"/>
      <c r="J10" s="418"/>
      <c r="K10" s="418"/>
      <c r="L10" s="418"/>
      <c r="M10" s="418"/>
      <c r="N10" s="418"/>
      <c r="O10" s="418"/>
      <c r="P10" s="418"/>
      <c r="Q10" s="418"/>
      <c r="R10" s="418"/>
      <c r="S10" s="418"/>
      <c r="T10" s="418"/>
      <c r="U10" s="67"/>
      <c r="V10" s="67"/>
      <c r="W10" s="67"/>
      <c r="X10" s="67"/>
      <c r="Y10" s="67"/>
      <c r="Z10" s="67"/>
      <c r="AA10" s="67"/>
      <c r="AB10" s="67"/>
      <c r="AC10" s="67"/>
      <c r="AD10" s="151"/>
    </row>
    <row r="11" spans="1:30" ht="5.0999999999999996" customHeight="1">
      <c r="A11" s="71" t="s">
        <v>167</v>
      </c>
      <c r="B11" s="166"/>
      <c r="C11" s="173"/>
      <c r="D11" s="418"/>
      <c r="E11" s="418"/>
      <c r="F11" s="418"/>
      <c r="G11" s="418"/>
      <c r="H11" s="418"/>
      <c r="I11" s="418"/>
      <c r="J11" s="418"/>
      <c r="K11" s="418"/>
      <c r="L11" s="418"/>
      <c r="M11" s="418"/>
      <c r="N11" s="418"/>
      <c r="O11" s="418"/>
      <c r="P11" s="418"/>
      <c r="Q11" s="418"/>
      <c r="R11" s="418"/>
      <c r="S11" s="418"/>
      <c r="T11" s="418"/>
      <c r="U11" s="67"/>
      <c r="V11" s="67"/>
      <c r="W11" s="67"/>
      <c r="X11" s="67"/>
      <c r="Y11" s="67"/>
      <c r="Z11" s="67"/>
      <c r="AA11" s="67"/>
      <c r="AB11" s="67"/>
      <c r="AC11" s="67"/>
      <c r="AD11" s="151"/>
    </row>
    <row r="12" spans="1:30" ht="99.95" customHeight="1">
      <c r="A12" s="71" t="s">
        <v>168</v>
      </c>
      <c r="B12" s="166"/>
      <c r="C12" s="173"/>
      <c r="D12" s="419" t="str">
        <f>IF($A$2="English",_xlfn.XLOOKUP($A$5,Descriptions!$A:$A,Descriptions!$B:$B),_xlfn.XLOOKUP($A$5,Descriptions!$A:$A,Descriptions!$C:$C))</f>
        <v>V3 - Liðugvøruflutningur og -veiting</v>
      </c>
      <c r="E12" s="419"/>
      <c r="F12" s="419"/>
      <c r="G12" s="419"/>
      <c r="H12" s="419"/>
      <c r="I12" s="419"/>
      <c r="J12" s="419"/>
      <c r="K12" s="419"/>
      <c r="L12" s="419"/>
      <c r="M12" s="419"/>
      <c r="N12" s="419"/>
      <c r="O12" s="419"/>
      <c r="P12" s="419"/>
      <c r="Q12" s="419"/>
      <c r="R12" s="419"/>
      <c r="S12" s="419"/>
      <c r="T12" s="419"/>
      <c r="U12" s="67"/>
      <c r="V12" s="67"/>
      <c r="W12" s="67"/>
      <c r="X12" s="67"/>
      <c r="Y12" s="67"/>
      <c r="Z12" s="67"/>
      <c r="AA12" s="67"/>
      <c r="AB12" s="67"/>
      <c r="AC12" s="67"/>
      <c r="AD12" s="151"/>
    </row>
    <row r="13" spans="1:30">
      <c r="A13" s="71" t="s">
        <v>169</v>
      </c>
      <c r="B13" s="166"/>
      <c r="C13" s="173"/>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1"/>
    </row>
    <row r="14" spans="1:30" ht="30" customHeight="1">
      <c r="A14" s="71" t="s">
        <v>170</v>
      </c>
      <c r="B14" s="166"/>
      <c r="C14" s="173"/>
      <c r="D14" s="437" t="str">
        <f>IF($A$2="English",_xlfn.XLOOKUP($A$31,Descriptions!$A:$A,Descriptions!$B:$B),_xlfn.XLOOKUP($A$31,Descriptions!$A:$A,Descriptions!$C:$C))</f>
        <v>Vegleiðing</v>
      </c>
      <c r="E14" s="437"/>
      <c r="F14" s="437"/>
      <c r="G14" s="437"/>
      <c r="H14" s="437"/>
      <c r="I14" s="437"/>
      <c r="J14" s="437"/>
      <c r="K14" s="437"/>
      <c r="L14" s="437"/>
      <c r="M14" s="67"/>
      <c r="N14" s="67"/>
      <c r="O14" s="67"/>
      <c r="P14" s="67"/>
      <c r="Q14" s="347" t="str">
        <f>'V3 - Upstream Transport'!Q14</f>
        <v>Key</v>
      </c>
      <c r="R14" s="67"/>
      <c r="S14" s="67"/>
      <c r="T14" s="67"/>
      <c r="U14" s="67"/>
      <c r="V14" s="67"/>
      <c r="W14" s="67"/>
      <c r="X14" s="67"/>
      <c r="Y14" s="67"/>
      <c r="Z14" s="67"/>
      <c r="AA14" s="67"/>
      <c r="AB14" s="67"/>
      <c r="AC14" s="67"/>
      <c r="AD14" s="151"/>
    </row>
    <row r="15" spans="1:30" ht="14.1" customHeight="1">
      <c r="A15" s="71" t="s">
        <v>171</v>
      </c>
      <c r="B15" s="166"/>
      <c r="C15" s="173"/>
      <c r="D15" s="424" t="str">
        <f>IF($A$2="English",_xlfn.XLOOKUP($A$6,Descriptions!$A:$A,Descriptions!$B:$B),_xlfn.XLOOKUP($A$6,Descriptions!$A:$A,Descriptions!$C:$C))</f>
        <v>Vav 3 - Liðugvøruflutningur og -veiting fevnir um brennievnisnýtslu hjá akførum, ið eru fíggjað av fyritøkuni og nýtt til liðugvøruflutning og -veiting í virðisketu fyritøkunnar. Brúkarin skal savna dátur um brennievnisnýtslu ella um teinin millum veitara og móttakara í liðugvøruvirðisketuni. Somuleiðis skal flutningsslag skrásetast (t.d. flogflutnigur, tung akfør o.s.fr.).
Kravdar dátur:
• Høli/ogn og staðseting (haðan flutningurin fer)
• Virksemi (í sambandi við flutning)
• Slag av dátum (Brennievnisnýtsla (orka) ella teinur).
• Flutningsháttur
• Útlátskelda
• Brennievnisnøgd nýtt/flutningsteinur tils.
• Eind fyri Brennievnisnøgd/flutningsteinur 
GG:
• Vegna útvegaðu dáturnar um útlátsvirðiskeldur verður valda slagið av dátum, 'Teinur' ella 'Brennievni', avgerandi fyri, hvørji sløg av flutningi og hvørjar útlátskeldur eru tøkar.
• Tons.km - Mát, ið svarar til flutning á ein km av einum tonsi av vørum. Eindin tons.km skal setast á ‘vøruna’ av fluttum tonsum av vørum og á kilometrarnar, ið ferðast verður. Km-tølini sipa til heil akfør, ið eru brúkt til flutning og telja sostatt fyri alt akfarið.
• Tons = 1000 kg
• kWh virðini fyri øll brennievni frá BEIS 2023 Conversions Factors eru Gross Calorific virði (Gross CV).</v>
      </c>
      <c r="E15" s="424"/>
      <c r="F15" s="424"/>
      <c r="G15" s="424"/>
      <c r="H15" s="424"/>
      <c r="I15" s="424"/>
      <c r="J15" s="424"/>
      <c r="K15" s="424"/>
      <c r="L15" s="424"/>
      <c r="M15" s="67"/>
      <c r="N15" s="67"/>
      <c r="O15" s="67"/>
      <c r="P15" s="67"/>
      <c r="Q15" s="180" t="str">
        <f>'V3 - Upstream Transport'!Q15</f>
        <v>Dátuíkast - Fallmynd</v>
      </c>
      <c r="R15" s="67"/>
      <c r="S15" s="67"/>
      <c r="T15" s="67"/>
      <c r="U15" s="67"/>
      <c r="V15" s="67"/>
      <c r="W15" s="67"/>
      <c r="X15" s="67"/>
      <c r="Y15" s="67"/>
      <c r="Z15" s="67"/>
      <c r="AA15" s="67"/>
      <c r="AB15" s="67"/>
      <c r="AC15" s="67"/>
      <c r="AD15" s="151"/>
    </row>
    <row r="16" spans="1:30" ht="14.1" customHeight="1">
      <c r="A16" s="71" t="s">
        <v>172</v>
      </c>
      <c r="B16" s="166"/>
      <c r="C16" s="173"/>
      <c r="D16" s="424"/>
      <c r="E16" s="424"/>
      <c r="F16" s="424"/>
      <c r="G16" s="424"/>
      <c r="H16" s="424"/>
      <c r="I16" s="424"/>
      <c r="J16" s="424"/>
      <c r="K16" s="424"/>
      <c r="L16" s="424"/>
      <c r="M16" s="67"/>
      <c r="N16" s="67"/>
      <c r="O16" s="67"/>
      <c r="P16" s="67"/>
      <c r="Q16" s="181" t="str">
        <f>'V3 - Upstream Transport'!Q16</f>
        <v>Dátuíkast - Tøppa inn</v>
      </c>
      <c r="R16" s="94"/>
      <c r="S16" s="67"/>
      <c r="T16" s="67"/>
      <c r="U16" s="67"/>
      <c r="V16" s="67"/>
      <c r="W16" s="67"/>
      <c r="X16" s="67"/>
      <c r="Y16" s="67"/>
      <c r="Z16" s="67"/>
      <c r="AA16" s="67"/>
      <c r="AB16" s="67"/>
      <c r="AC16" s="67"/>
      <c r="AD16" s="151"/>
    </row>
    <row r="17" spans="1:30" ht="14.1" customHeight="1">
      <c r="A17" s="71" t="s">
        <v>173</v>
      </c>
      <c r="B17" s="166"/>
      <c r="C17" s="173"/>
      <c r="D17" s="424"/>
      <c r="E17" s="424"/>
      <c r="F17" s="424"/>
      <c r="G17" s="424"/>
      <c r="H17" s="424"/>
      <c r="I17" s="424"/>
      <c r="J17" s="424"/>
      <c r="K17" s="424"/>
      <c r="L17" s="424"/>
      <c r="M17" s="67"/>
      <c r="N17" s="67"/>
      <c r="O17" s="67"/>
      <c r="P17" s="67"/>
      <c r="Q17" s="335" t="str">
        <f>'V3 - Upstream Transport'!Q17</f>
        <v>Leiting (fastløst)</v>
      </c>
      <c r="R17" s="94"/>
      <c r="S17" s="94"/>
      <c r="T17" s="94"/>
      <c r="U17" s="67"/>
      <c r="V17" s="67"/>
      <c r="W17" s="67"/>
      <c r="X17" s="67"/>
      <c r="Y17" s="67"/>
      <c r="Z17" s="67"/>
      <c r="AA17" s="67"/>
      <c r="AB17" s="67"/>
      <c r="AC17" s="67"/>
      <c r="AD17" s="151"/>
    </row>
    <row r="18" spans="1:30" ht="14.1" customHeight="1">
      <c r="A18" s="71" t="s">
        <v>175</v>
      </c>
      <c r="B18" s="166"/>
      <c r="C18" s="173"/>
      <c r="D18" s="424"/>
      <c r="E18" s="424"/>
      <c r="F18" s="424"/>
      <c r="G18" s="424"/>
      <c r="H18" s="424"/>
      <c r="I18" s="424"/>
      <c r="J18" s="424"/>
      <c r="K18" s="424"/>
      <c r="L18" s="424"/>
      <c r="M18" s="67"/>
      <c r="N18" s="67"/>
      <c r="O18" s="67"/>
      <c r="P18" s="67"/>
      <c r="Q18" s="182" t="str">
        <f>'V3 - Upstream Transport'!Q18</f>
        <v>Útrokning</v>
      </c>
      <c r="R18" s="94"/>
      <c r="S18" s="94"/>
      <c r="T18" s="94"/>
      <c r="U18" s="67"/>
      <c r="V18" s="67"/>
      <c r="W18" s="67"/>
      <c r="X18" s="67"/>
      <c r="Y18" s="67"/>
      <c r="Z18" s="67"/>
      <c r="AA18" s="67"/>
      <c r="AB18" s="67"/>
      <c r="AC18" s="67"/>
      <c r="AD18" s="151"/>
    </row>
    <row r="19" spans="1:30" ht="120" customHeight="1">
      <c r="A19" s="71" t="s">
        <v>176</v>
      </c>
      <c r="B19" s="166"/>
      <c r="C19" s="173"/>
      <c r="D19" s="424"/>
      <c r="E19" s="424"/>
      <c r="F19" s="424"/>
      <c r="G19" s="424"/>
      <c r="H19" s="424"/>
      <c r="I19" s="424"/>
      <c r="J19" s="424"/>
      <c r="K19" s="424"/>
      <c r="L19" s="424"/>
      <c r="M19" s="67"/>
      <c r="N19" s="67"/>
      <c r="O19" s="67"/>
      <c r="P19" s="67"/>
      <c r="R19" s="94"/>
      <c r="S19" s="94"/>
      <c r="T19" s="94"/>
      <c r="U19" s="67"/>
      <c r="V19" s="67"/>
      <c r="W19" s="67"/>
      <c r="X19" s="67"/>
      <c r="Y19" s="67"/>
      <c r="Z19" s="67"/>
      <c r="AA19" s="67"/>
      <c r="AB19" s="67"/>
      <c r="AC19" s="67"/>
      <c r="AD19" s="151"/>
    </row>
    <row r="20" spans="1:30" ht="120" customHeight="1">
      <c r="A20" s="71" t="s">
        <v>177</v>
      </c>
      <c r="B20" s="166"/>
      <c r="C20" s="173"/>
      <c r="D20" s="424"/>
      <c r="E20" s="424"/>
      <c r="F20" s="424"/>
      <c r="G20" s="424"/>
      <c r="H20" s="424"/>
      <c r="I20" s="424"/>
      <c r="J20" s="424"/>
      <c r="K20" s="424"/>
      <c r="L20" s="424"/>
      <c r="M20" s="67"/>
      <c r="N20" s="67"/>
      <c r="O20" s="67"/>
      <c r="P20" s="67"/>
      <c r="Q20" s="67"/>
      <c r="R20" s="67"/>
      <c r="S20" s="94"/>
      <c r="T20" s="67"/>
      <c r="U20" s="67"/>
      <c r="V20" s="67"/>
      <c r="W20" s="67"/>
      <c r="X20" s="67"/>
      <c r="Y20" s="67"/>
      <c r="Z20" s="67"/>
      <c r="AA20" s="67"/>
      <c r="AB20" s="67"/>
      <c r="AC20" s="67"/>
      <c r="AD20" s="151"/>
    </row>
    <row r="21" spans="1:30" ht="15.6" customHeight="1">
      <c r="A21" s="71" t="s">
        <v>178</v>
      </c>
      <c r="B21" s="166"/>
      <c r="C21" s="173"/>
      <c r="D21" s="67"/>
      <c r="E21" s="67"/>
      <c r="F21" s="67"/>
      <c r="G21" s="67"/>
      <c r="H21" s="67"/>
      <c r="I21" s="67"/>
      <c r="J21" s="67"/>
      <c r="K21" s="67"/>
      <c r="L21" s="67"/>
      <c r="M21" s="67"/>
      <c r="N21" s="67"/>
      <c r="O21" s="67"/>
      <c r="P21" s="67"/>
      <c r="Q21" s="67"/>
      <c r="R21" s="67"/>
      <c r="S21" s="67"/>
      <c r="T21" s="67"/>
      <c r="U21" s="67"/>
      <c r="AC21" s="67"/>
      <c r="AD21" s="151"/>
    </row>
    <row r="22" spans="1:30" ht="30" customHeight="1">
      <c r="A22" s="71" t="s">
        <v>179</v>
      </c>
      <c r="B22" s="166"/>
      <c r="C22" s="173"/>
      <c r="D22" s="438" t="str">
        <f>IF($A$2="English",_xlfn.XLOOKUP($A$11,Descriptions!$A:$A,Descriptions!$B:$B),_xlfn.XLOOKUP($A$11,Descriptions!$A:$A,Descriptions!$C:$C))</f>
        <v>Dømi</v>
      </c>
      <c r="E22" s="438"/>
      <c r="F22" s="438"/>
      <c r="G22" s="438"/>
      <c r="H22" s="438"/>
      <c r="I22" s="438"/>
      <c r="J22" s="438"/>
      <c r="K22" s="438"/>
      <c r="L22" s="438"/>
      <c r="M22" s="438"/>
      <c r="N22" s="438"/>
      <c r="O22" s="438"/>
      <c r="P22" s="438"/>
      <c r="Q22" s="438"/>
      <c r="R22" s="438"/>
      <c r="S22" s="438"/>
      <c r="T22" s="438"/>
      <c r="U22" s="67"/>
      <c r="V22" s="437" t="s">
        <v>184</v>
      </c>
      <c r="W22" s="437"/>
      <c r="X22" s="437"/>
      <c r="Y22" s="437"/>
      <c r="Z22" s="437"/>
      <c r="AA22" s="437"/>
      <c r="AB22" s="437"/>
      <c r="AC22" s="67"/>
      <c r="AD22" s="151"/>
    </row>
    <row r="23" spans="1:30" ht="30" customHeight="1">
      <c r="A23" s="71" t="s">
        <v>180</v>
      </c>
      <c r="B23" s="166"/>
      <c r="C23" s="173"/>
      <c r="D23" s="331" t="str">
        <f>IF($A$2="English",_xlfn.XLOOKUP($A$12,Descriptions!$A:$A,Descriptions!$B:$B),_xlfn.XLOOKUP($A$12,Descriptions!$A:$A,Descriptions!$C:$C))</f>
        <v>Fasilitetur/Ogn og staðseting</v>
      </c>
      <c r="E23" s="331" t="str">
        <f>IF($A$2="English",_xlfn.XLOOKUP($A$13,Descriptions!$A:$A,Descriptions!$B:$B),_xlfn.XLOOKUP($A$13,Descriptions!$A:$A,Descriptions!$C:$C))</f>
        <v>Virksemi</v>
      </c>
      <c r="F23" s="331" t="str">
        <f>IF($A$2="English",_xlfn.XLOOKUP($A$7,Descriptions!$A:$A,Descriptions!$B:$B),_xlfn.XLOOKUP($A$7,Descriptions!$A:$A,Descriptions!$C:$C))</f>
        <v>Slag av dátum</v>
      </c>
      <c r="G23" s="331" t="str">
        <f>IF($A$2="English",_xlfn.XLOOKUP($A$8,Descriptions!$A:$A,Descriptions!$B:$B),_xlfn.XLOOKUP($A$8,Descriptions!$A:$A,Descriptions!$C:$C))</f>
        <v>Flutningsháttur</v>
      </c>
      <c r="H23" s="331" t="str">
        <f>IF($A$2="English",_xlfn.XLOOKUP($A$10,Descriptions!$A:$A,Descriptions!$B:$B),_xlfn.XLOOKUP($A$10,Descriptions!$A:$A,Descriptions!$C:$C))</f>
        <v>Útlátskelda</v>
      </c>
      <c r="I23" s="331" t="s">
        <v>185</v>
      </c>
      <c r="J23" s="331" t="str">
        <f>IF($A$2="English",_xlfn.XLOOKUP($A$17,Descriptions!$A:$A,Descriptions!$B:$B),_xlfn.XLOOKUP($A$17,Descriptions!$A:$A,Descriptions!$C:$C))</f>
        <v>Nøgd</v>
      </c>
      <c r="K23" s="331" t="str">
        <f>IF($A$2="English",_xlfn.XLOOKUP($A$18,Descriptions!$A:$A,Descriptions!$B:$B),_xlfn.XLOOKUP($A$18,Descriptions!$A:$A,Descriptions!$C:$C))</f>
        <v>Eindir</v>
      </c>
      <c r="L23" s="331" t="str">
        <f>IF($A$2="English",_xlfn.XLOOKUP($A$9,Descriptions!$A:$A,Descriptions!$B:$B),_xlfn.XLOOKUP($A$9,Descriptions!$A:$A,Descriptions!$C:$C))</f>
        <v>Um tons.km: Flutt tons</v>
      </c>
      <c r="M23" s="331" t="s">
        <v>186</v>
      </c>
      <c r="N23" s="331" t="s">
        <v>187</v>
      </c>
      <c r="O23" s="331" t="s">
        <v>188</v>
      </c>
      <c r="P23" s="331" t="str">
        <f>IF($A$2="English",_xlfn.XLOOKUP($A$22,Descriptions!$A:$A,Descriptions!$B:$B),_xlfn.XLOOKUP($A$22,Descriptions!$A:$A,Descriptions!$C:$C))</f>
        <v>Útlátsfaktorur</v>
      </c>
      <c r="Q23" s="331" t="str">
        <f>IF($A$2="English",_xlfn.XLOOKUP($A$23,Descriptions!$A:$A,Descriptions!$B:$B),_xlfn.XLOOKUP($A$23,Descriptions!$A:$A,Descriptions!$C:$C))</f>
        <v>Útlátsfaktorur Eind</v>
      </c>
      <c r="R23" s="331" t="str">
        <f>IF($A$2="English",_xlfn.XLOOKUP($A$24,Descriptions!$A:$A,Descriptions!$B:$B),_xlfn.XLOOKUP($A$24,Descriptions!$A:$A,Descriptions!$C:$C))</f>
        <v>Útlát av vakstrarhúsgassi (tons av CO2e)</v>
      </c>
      <c r="S23" s="331" t="str">
        <f>IF($A$2="English",_xlfn.XLOOKUP($A$25,Descriptions!$A:$A,Descriptions!$B:$B),_xlfn.XLOOKUP($A$25,Descriptions!$A:$A,Descriptions!$C:$C))</f>
        <v>Kelda Útlátsfaktorur</v>
      </c>
      <c r="T23" s="331" t="str">
        <f>IF($A$2="English",_xlfn.XLOOKUP($A$26,Descriptions!$A:$A,Descriptions!$B:$B),_xlfn.XLOOKUP($A$26,Descriptions!$A:$A,Descriptions!$C:$C))</f>
        <v>Viðmerking frá brúkara</v>
      </c>
      <c r="U23" s="67"/>
      <c r="V23" s="331" t="s">
        <v>186</v>
      </c>
      <c r="W23" s="331" t="s">
        <v>187</v>
      </c>
      <c r="X23" s="331" t="s">
        <v>188</v>
      </c>
      <c r="Y23" s="331" t="str">
        <f>IF($A$2="English",_xlfn.XLOOKUP($A$22,Descriptions!$A:$A,Descriptions!$B:$B),_xlfn.XLOOKUP($A$22,Descriptions!$A:$A,Descriptions!$C:$C))</f>
        <v>Útlátsfaktorur</v>
      </c>
      <c r="Z23" s="331" t="str">
        <f>IF($A$2="English",_xlfn.XLOOKUP($A$23,Descriptions!$A:$A,Descriptions!$B:$B),_xlfn.XLOOKUP($A$23,Descriptions!$A:$A,Descriptions!$C:$C))</f>
        <v>Útlátsfaktorur Eind</v>
      </c>
      <c r="AA23" s="331" t="str">
        <f>IF($A$2="English",_xlfn.XLOOKUP($A$24,Descriptions!$A:$A,Descriptions!$B:$B),_xlfn.XLOOKUP($A$24,Descriptions!$A:$A,Descriptions!$C:$C))</f>
        <v>Útlát av vakstrarhúsgassi (tons av CO2e)</v>
      </c>
      <c r="AB23" s="331" t="str">
        <f>IF($A$2="English",_xlfn.XLOOKUP($A$25,Descriptions!$A:$A,Descriptions!$B:$B),_xlfn.XLOOKUP($A$25,Descriptions!$A:$A,Descriptions!$C:$C))</f>
        <v>Kelda Útlátsfaktorur</v>
      </c>
      <c r="AC23" s="67"/>
      <c r="AD23" s="151"/>
    </row>
    <row r="24" spans="1:30">
      <c r="A24" s="71" t="s">
        <v>181</v>
      </c>
      <c r="B24" s="166"/>
      <c r="C24" s="173"/>
      <c r="D24" s="95" t="s">
        <v>254</v>
      </c>
      <c r="E24" s="96" t="s">
        <v>255</v>
      </c>
      <c r="F24" s="95" t="s">
        <v>246</v>
      </c>
      <c r="G24" s="95" t="s">
        <v>206</v>
      </c>
      <c r="H24" s="95" t="s">
        <v>203</v>
      </c>
      <c r="I24" s="97" t="str">
        <f>H24&amp;G24</f>
        <v>DieselHeavy duty vehicles</v>
      </c>
      <c r="J24" s="98">
        <v>2000</v>
      </c>
      <c r="K24" s="95" t="s">
        <v>193</v>
      </c>
      <c r="L24" s="98">
        <v>124</v>
      </c>
      <c r="M24" s="97" t="str">
        <f t="shared" ref="M24:M25" si="0">IF(K24="","",K24)</f>
        <v>Litre</v>
      </c>
      <c r="N24" s="303" t="str" cm="1">
        <f t="array" ref="N24">IF(K24="","",IF(F24="Distance",_xlfn.XLOOKUP(I24&amp;K24,'Emission Factors'!$M$196:$M$352&amp;'Emission Factors'!$U$196:$U$352,'Emission Factors'!$U$196:$U$352),IF(F24="Fuel Use",_xlfn.XLOOKUP(I24,'Emission Factors'!$M$196:$M$352,'Emission Factors'!$U$196:$U$352))))</f>
        <v>GJ</v>
      </c>
      <c r="O24" s="305">
        <f>IF(F24="Distance",1,IF(K24="","",IF(OR($K24="Litre",$K24="Tonne"),_xlfn.XLOOKUP(H24&amp;N24&amp;M24,Conversions!$E$20:$E$104,Conversions!$F$20:$F$104),INDEX(Conversions!$C$4:$I$10,MATCH('V3 - Downstream Transport'!$M24,Conversions!$B$4:$B$10,0),MATCH('V3 - Downstream Transport'!$N24,Conversions!$C$3:$I$3,0)))))</f>
        <v>3.8370048576280555E-2</v>
      </c>
      <c r="P24" s="309" cm="1">
        <f t="array" ref="P24">IF(F24="Distance",_xlfn.XLOOKUP(I24&amp;K24,'Emission Factors'!$M:$M&amp;'Emission Factors'!$U:$U,'Emission Factors'!$T:$T),IF(K24="","",_xlfn.XLOOKUP(I24,'Emission Factors'!$M$196:$M$352,'Emission Factors'!$T$196:$T$352)*O24))</f>
        <v>2.8969854789684453</v>
      </c>
      <c r="Q24" s="305" t="str">
        <f t="shared" ref="Q24:Q25" si="1">IF(K24="","","kgCO2e/"&amp;M24)</f>
        <v>kgCO2e/Litre</v>
      </c>
      <c r="R24" s="129">
        <f>IF(ISBLANK(J24)=TRUE,"",IF(ISBLANK(P24)=TRUE,"",IF(K24="tonne.km",J24*L24*P24/1000,(J24*P24)/1000)))</f>
        <v>5.7939709579368905</v>
      </c>
      <c r="S24" s="303" t="str">
        <f>IF(K24="","",_xlfn.XLOOKUP(I24,'Emission Factors'!$M:$M,'Emission Factors'!$W:$W))</f>
        <v>Denmark National Inventory Report (2022)</v>
      </c>
      <c r="T24" s="174"/>
      <c r="U24" s="67"/>
      <c r="V24" s="303" t="str">
        <f>M24</f>
        <v>Litre</v>
      </c>
      <c r="W24" s="303" t="str" cm="1">
        <f t="array" ref="W24">IF(K24="","",IF(F24="Distance",_xlfn.XLOOKUP(I24&amp;K24,'Emission Factors'!$M$432:$M$787&amp;'Emission Factors'!$U$432:$U$787,'Emission Factors'!$U$432:$U$787),IF(F24="Fuel Use",_xlfn.XLOOKUP(I24,'Emission Factors'!$M$432:$M$787,'Emission Factors'!$U$432:$U$787))))</f>
        <v>kWh</v>
      </c>
      <c r="X24" s="332">
        <f>IF(F24="Distance",1,IF(K24="","",IF(OR($K24="Litre",$K24="Tonne"),_xlfn.XLOOKUP(H24&amp;N24&amp;M24,Conversions!$E$20:$E$104,Conversions!$F$20:$F$104),INDEX(Conversions!$C$4:$I$10,MATCH('V3 - Downstream Transport'!$M24,Conversions!$B$4:$B$10,0),MATCH('V3 - Downstream Transport'!$N24,Conversions!$C$3:$I$3,0)))))</f>
        <v>3.8370048576280555E-2</v>
      </c>
      <c r="Y24" s="309">
        <f>IF(K24="","",_xlfn.XLOOKUP(I24,'Emission Factors'!$M$432:$M$787,'Emission Factors'!$S$432:$S$787)*X24)</f>
        <v>2.2592284601713991E-3</v>
      </c>
      <c r="Z24" s="305" t="str">
        <f>IF(K24="","","kgCO2e/"&amp;V24)</f>
        <v>kgCO2e/Litre</v>
      </c>
      <c r="AA24" s="129">
        <f>IF(ISBLANK(J24)=TRUE,"",IF(ISBLANK(Y24)=TRUE,"",IF(K24="tonne.km",J24*L24*Y24/1000,(J24*Y24)/1000)))</f>
        <v>4.5184569203427982E-3</v>
      </c>
      <c r="AB24" s="303" t="str">
        <f>IF(K24="","",_xlfn.XLOOKUP(I24,'Emission Factors'!$M$432:$M$787,'Emission Factors'!$W$432:$W$787))</f>
        <v xml:space="preserve">UK Government (BEIS) Greenhouse gas reporting: conversion factors (2023) - WTT - Fuels - Liquid fuels - Diesel (100% mineral diesel) </v>
      </c>
      <c r="AC24" s="67"/>
      <c r="AD24" s="151"/>
    </row>
    <row r="25" spans="1:30">
      <c r="A25" s="71" t="s">
        <v>182</v>
      </c>
      <c r="B25" s="166"/>
      <c r="C25" s="173"/>
      <c r="D25" s="95" t="s">
        <v>254</v>
      </c>
      <c r="E25" s="157" t="s">
        <v>256</v>
      </c>
      <c r="F25" s="95" t="s">
        <v>249</v>
      </c>
      <c r="G25" s="95" t="s">
        <v>257</v>
      </c>
      <c r="H25" s="95" t="s">
        <v>258</v>
      </c>
      <c r="I25" s="97" t="str">
        <f>H25&amp;G25</f>
        <v>Crude tanker - AverageSea Tanker</v>
      </c>
      <c r="J25" s="98">
        <v>1000</v>
      </c>
      <c r="K25" s="95" t="s">
        <v>251</v>
      </c>
      <c r="L25" s="98">
        <v>50</v>
      </c>
      <c r="M25" s="97" t="str">
        <f t="shared" si="0"/>
        <v>tonne.km</v>
      </c>
      <c r="N25" s="303" t="str" cm="1">
        <f t="array" ref="N25">IF(K25="","",IF(F25="Distance",_xlfn.XLOOKUP(I25&amp;K25,'Emission Factors'!$M$196:$M$352&amp;'Emission Factors'!$U$196:$U$352,'Emission Factors'!$U$196:$U$352),IF(F25="Fuel Use",_xlfn.XLOOKUP(I25,'Emission Factors'!$M$196:$M$352,'Emission Factors'!$U$196:$U$352))))</f>
        <v>tonne.km</v>
      </c>
      <c r="O25" s="305">
        <f>IF(F25="Distance",1,IF(K25="","",IF(OR($K25="Litre",$K25="Tonne"),_xlfn.XLOOKUP(H25&amp;N25&amp;M25,Conversions!$E$20:$E$104,Conversions!$F$20:$F$104),INDEX(Conversions!$C$4:$I$10,MATCH('V3 - Downstream Transport'!$M25,Conversions!$B$4:$B$10,0),MATCH('V3 - Downstream Transport'!$N25,Conversions!$C$3:$I$3,0)))))</f>
        <v>1</v>
      </c>
      <c r="P25" s="309" cm="1">
        <f t="array" ref="P25">IF(F25="Distance",_xlfn.XLOOKUP(I25&amp;K25,'Emission Factors'!$M:$M&amp;'Emission Factors'!$U:$U,'Emission Factors'!$T:$T),IF(K25="","",_xlfn.XLOOKUP(I25,'Emission Factors'!$M$196:$M$352,'Emission Factors'!$T$196:$T$352)*O25))</f>
        <v>4.5653649664429531E-3</v>
      </c>
      <c r="Q25" s="305" t="str">
        <f t="shared" si="1"/>
        <v>kgCO2e/tonne.km</v>
      </c>
      <c r="R25" s="129">
        <f t="shared" ref="R25" si="2">IF(ISBLANK(J25)=TRUE,"",IF(ISBLANK(P25)=TRUE,"",IF(K25="tonne.km",J25*L25*P25/1000,(J25*P25)/1000)))</f>
        <v>0.22826824832214765</v>
      </c>
      <c r="S25" s="303" t="str">
        <f>IF(K25="","",_xlfn.XLOOKUP(I25,'Emission Factors'!$M:$M,'Emission Factors'!$W:$W))</f>
        <v>UK Government (BEIS) Greenhouse gas reporting: conversion factors (2023) - Freighting goods - Sea tanker - Crude tanker - Average</v>
      </c>
      <c r="T25" s="157"/>
      <c r="U25" s="67"/>
      <c r="V25" s="303" t="str">
        <f t="shared" ref="V25" si="3">M25</f>
        <v>tonne.km</v>
      </c>
      <c r="W25" s="303" t="str" cm="1">
        <f t="array" ref="W25">IF(K25="","",IF(F25="Distance",_xlfn.XLOOKUP(I25&amp;K25,'Emission Factors'!$M$432:$M$787&amp;'Emission Factors'!$U$432:$U$787,'Emission Factors'!$U$432:$U$787),IF(F25="Fuel Use",_xlfn.XLOOKUP(I25,'Emission Factors'!$M$432:$M$787,'Emission Factors'!$U$432:$U$787))))</f>
        <v>tonne.km</v>
      </c>
      <c r="X25" s="332">
        <f>IF(F25="Distance",1,IF(K25="","",IF(OR($K25="Litre",$K25="Tonne"),_xlfn.XLOOKUP(H25&amp;N25&amp;M25,Conversions!$E$20:$E$104,Conversions!$F$20:$F$104),INDEX(Conversions!$C$4:$I$10,MATCH('V3 - Downstream Transport'!$M25,Conversions!$B$4:$B$10,0),MATCH('V3 - Downstream Transport'!$N25,Conversions!$C$3:$I$3,0)))))</f>
        <v>1</v>
      </c>
      <c r="Y25" s="309">
        <f>IF(K25="","",_xlfn.XLOOKUP(I25,'Emission Factors'!$M$432:$M$787,'Emission Factors'!$S$432:$S$787)*X25)</f>
        <v>1.0300000000000001E-3</v>
      </c>
      <c r="Z25" s="305" t="str">
        <f>IF(K25="","","kgCO2e/"&amp;V25)</f>
        <v>kgCO2e/tonne.km</v>
      </c>
      <c r="AA25" s="129">
        <f>IF(ISBLANK(J25)=TRUE,"",IF(ISBLANK(Y25)=TRUE,"",IF(K25="tonne.km",J25*L25*Y25/1000,(J25*Y25)/1000)))</f>
        <v>5.1500000000000004E-2</v>
      </c>
      <c r="AB25" s="303" t="str">
        <f>IF(K25="","",_xlfn.XLOOKUP(I25,'Emission Factors'!$M$432:$M$787,'Emission Factors'!$W$432:$W$787))</f>
        <v>UK Government (BEIS) Greenhouse gas reporting: conversion factors (2023) - WTT - Delivery vehs and Freight - WTT - cargo ship - Crude tanker - Average</v>
      </c>
      <c r="AC25" s="67"/>
      <c r="AD25" s="151"/>
    </row>
    <row r="26" spans="1:30">
      <c r="A26" s="71" t="s">
        <v>183</v>
      </c>
      <c r="B26" s="166"/>
      <c r="C26" s="173"/>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1"/>
    </row>
    <row r="27" spans="1:30" ht="15.6" customHeight="1">
      <c r="A27" s="71" t="s">
        <v>199</v>
      </c>
      <c r="B27" s="166"/>
      <c r="C27" s="173"/>
      <c r="D27" s="336" t="str">
        <f>'V3 - Upstream Transport'!D27</f>
        <v>Fyritøka</v>
      </c>
      <c r="E27" s="10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1"/>
    </row>
    <row r="28" spans="1:30" ht="17.25" customHeight="1">
      <c r="A28" s="71" t="s">
        <v>184</v>
      </c>
      <c r="B28" s="166"/>
      <c r="C28" s="173"/>
      <c r="D28" s="67"/>
      <c r="E28" s="67"/>
      <c r="F28" s="67"/>
      <c r="G28" s="67"/>
      <c r="H28" s="67"/>
      <c r="I28" s="67"/>
      <c r="J28" s="67"/>
      <c r="K28" s="67"/>
      <c r="L28" s="67"/>
      <c r="M28" s="67"/>
      <c r="N28" s="67"/>
      <c r="O28" s="67"/>
      <c r="P28" s="67"/>
      <c r="Q28" s="67"/>
      <c r="R28" s="94"/>
      <c r="S28" s="67"/>
      <c r="T28" s="67"/>
      <c r="U28" s="67"/>
      <c r="V28" s="67"/>
      <c r="W28" s="67"/>
      <c r="X28" s="67"/>
      <c r="Y28" s="67"/>
      <c r="Z28" s="67"/>
      <c r="AA28" s="67"/>
      <c r="AB28" s="67"/>
      <c r="AC28" s="67"/>
      <c r="AD28" s="151"/>
    </row>
    <row r="29" spans="1:30" ht="30" customHeight="1">
      <c r="A29" s="71" t="s">
        <v>146</v>
      </c>
      <c r="B29" s="166"/>
      <c r="C29" s="173"/>
      <c r="D29" s="437" t="str">
        <f>IF($A$2="English",_xlfn.XLOOKUP($A$30,Descriptions!$A:$A,Descriptions!$B:$B),_xlfn.XLOOKUP($A$30,Descriptions!$A:$A,Descriptions!$C:$C))</f>
        <v>Talva við útlátsútrokningum</v>
      </c>
      <c r="E29" s="437"/>
      <c r="F29" s="437"/>
      <c r="G29" s="437"/>
      <c r="H29" s="437"/>
      <c r="I29" s="437"/>
      <c r="J29" s="437"/>
      <c r="K29" s="437"/>
      <c r="L29" s="437"/>
      <c r="M29" s="437"/>
      <c r="N29" s="437"/>
      <c r="O29" s="437"/>
      <c r="P29" s="437"/>
      <c r="Q29" s="437"/>
      <c r="R29" s="437"/>
      <c r="S29" s="437"/>
      <c r="T29" s="437"/>
      <c r="U29" s="67"/>
      <c r="V29" s="67"/>
      <c r="W29" s="67"/>
      <c r="X29" s="67"/>
      <c r="Y29" s="67"/>
      <c r="Z29" s="67"/>
      <c r="AA29" s="67"/>
      <c r="AB29" s="67"/>
      <c r="AC29" s="67"/>
      <c r="AD29" s="151"/>
    </row>
    <row r="30" spans="1:30" ht="30" customHeight="1">
      <c r="A30" s="71" t="s">
        <v>115</v>
      </c>
      <c r="B30" s="166"/>
      <c r="C30" s="173"/>
      <c r="D30" s="331" t="str">
        <f>D23</f>
        <v>Fasilitetur/Ogn og staðseting</v>
      </c>
      <c r="E30" s="331" t="str">
        <f t="shared" ref="E30:T30" si="4">E23</f>
        <v>Virksemi</v>
      </c>
      <c r="F30" s="331" t="str">
        <f t="shared" si="4"/>
        <v>Slag av dátum</v>
      </c>
      <c r="G30" s="331" t="str">
        <f>G23</f>
        <v>Flutningsháttur</v>
      </c>
      <c r="H30" s="331" t="str">
        <f t="shared" si="4"/>
        <v>Útlátskelda</v>
      </c>
      <c r="I30" s="331" t="str">
        <f t="shared" si="4"/>
        <v>Concat</v>
      </c>
      <c r="J30" s="331" t="str">
        <f t="shared" si="4"/>
        <v>Nøgd</v>
      </c>
      <c r="K30" s="331" t="str">
        <f t="shared" si="4"/>
        <v>Eindir</v>
      </c>
      <c r="L30" s="331" t="str">
        <f t="shared" si="4"/>
        <v>Um tons.km: Flutt tons</v>
      </c>
      <c r="M30" s="331" t="str">
        <f t="shared" si="4"/>
        <v>Input Unit</v>
      </c>
      <c r="N30" s="331" t="str">
        <f t="shared" si="4"/>
        <v>Source Emission Factor Unit</v>
      </c>
      <c r="O30" s="331" t="str">
        <f t="shared" si="4"/>
        <v>Conversion Factor</v>
      </c>
      <c r="P30" s="331" t="str">
        <f t="shared" si="4"/>
        <v>Útlátsfaktorur</v>
      </c>
      <c r="Q30" s="331" t="str">
        <f t="shared" si="4"/>
        <v>Útlátsfaktorur Eind</v>
      </c>
      <c r="R30" s="331" t="str">
        <f t="shared" si="4"/>
        <v>Útlát av vakstrarhúsgassi (tons av CO2e)</v>
      </c>
      <c r="S30" s="331" t="str">
        <f t="shared" si="4"/>
        <v>Kelda Útlátsfaktorur</v>
      </c>
      <c r="T30" s="331" t="str">
        <f t="shared" si="4"/>
        <v>Viðmerking frá brúkara</v>
      </c>
      <c r="U30" s="67"/>
      <c r="V30" s="331" t="str">
        <f>V23</f>
        <v>Input Unit</v>
      </c>
      <c r="W30" s="331" t="str">
        <f t="shared" ref="W30:AB30" si="5">W23</f>
        <v>Source Emission Factor Unit</v>
      </c>
      <c r="X30" s="331" t="str">
        <f t="shared" si="5"/>
        <v>Conversion Factor</v>
      </c>
      <c r="Y30" s="331" t="str">
        <f t="shared" si="5"/>
        <v>Útlátsfaktorur</v>
      </c>
      <c r="Z30" s="331" t="str">
        <f t="shared" si="5"/>
        <v>Útlátsfaktorur Eind</v>
      </c>
      <c r="AA30" s="331" t="str">
        <f t="shared" si="5"/>
        <v>Útlát av vakstrarhúsgassi (tons av CO2e)</v>
      </c>
      <c r="AB30" s="331" t="str">
        <f t="shared" si="5"/>
        <v>Kelda Útlátsfaktorur</v>
      </c>
      <c r="AC30" s="67"/>
      <c r="AD30" s="151"/>
    </row>
    <row r="31" spans="1:30">
      <c r="A31" s="71" t="s">
        <v>131</v>
      </c>
      <c r="B31" s="166"/>
      <c r="C31" s="173"/>
      <c r="D31" s="103"/>
      <c r="E31" s="104"/>
      <c r="F31" s="103"/>
      <c r="G31" s="103"/>
      <c r="H31" s="103"/>
      <c r="I31" s="105" t="str">
        <f>H31&amp;G31</f>
        <v/>
      </c>
      <c r="J31" s="143"/>
      <c r="K31" s="103"/>
      <c r="L31" s="143"/>
      <c r="M31" s="97" t="str">
        <f t="shared" ref="M31:M60" si="6">IF(K31="","",K31)</f>
        <v/>
      </c>
      <c r="N31" s="303" t="str" cm="1">
        <f t="array" ref="N31">IF(K31="","",IF(F31="Distance",_xlfn.XLOOKUP(I31&amp;K31,'Emission Factors'!$M$196:$M$352&amp;'Emission Factors'!$U$196:$U$352,'Emission Factors'!$U$196:$U$352),IF(F31="Fuel Use",_xlfn.XLOOKUP(I31,'Emission Factors'!$M$196:$M$352,'Emission Factors'!$U$196:$U$352))))</f>
        <v/>
      </c>
      <c r="O31" s="305" t="str">
        <f>IF(F31="Distance",1,IF(K31="","",IF(OR($K31="Litre",$K31="Tonne"),_xlfn.XLOOKUP(H31&amp;N31&amp;M31,Conversions!$E$20:$E$104,Conversions!$F$20:$F$104),INDEX(Conversions!$C$4:$I$10,MATCH('V3 - Downstream Transport'!$M31,Conversions!$B$4:$B$10,0),MATCH('V3 - Downstream Transport'!$N31,Conversions!$C$3:$I$3,0)))))</f>
        <v/>
      </c>
      <c r="P31" s="309" t="str" cm="1">
        <f t="array" ref="P31">IF(F31="Distance",_xlfn.XLOOKUP(I31&amp;K31,'Emission Factors'!$M:$M&amp;'Emission Factors'!$U:$U,'Emission Factors'!$T:$T),IF(K31="","",_xlfn.XLOOKUP(I31,'Emission Factors'!$M$196:$M$352,'Emission Factors'!$T$196:$T$352)*O31))</f>
        <v/>
      </c>
      <c r="Q31" s="305" t="str">
        <f t="shared" ref="Q31:Q60" si="7">IF(K31="","","kgCO2e/"&amp;M31)</f>
        <v/>
      </c>
      <c r="R31" s="144" t="str">
        <f>IF(ISBLANK(J31)=TRUE,"",IF(ISBLANK(P31)=TRUE,"",IF(K31="tonne.km",J31*L31*P31/1000,(J31*P31)/1000)))</f>
        <v/>
      </c>
      <c r="S31" s="303" t="str">
        <f>IF(K31="","",_xlfn.XLOOKUP(I31,'Emission Factors'!$M:$M,'Emission Factors'!$W:$W))</f>
        <v/>
      </c>
      <c r="T31" s="183"/>
      <c r="U31" s="67"/>
      <c r="V31" s="303" t="str">
        <f t="shared" ref="V31" si="8">M31</f>
        <v/>
      </c>
      <c r="W31" s="303" t="str" cm="1">
        <f t="array" ref="W31">IF(K31="","",IF(F31="Distance",_xlfn.XLOOKUP(I31&amp;K31,'Emission Factors'!$M$432:$M$787&amp;'Emission Factors'!$U$432:$U$787,'Emission Factors'!$U$432:$U$787),IF(F31="Fuel Use",_xlfn.XLOOKUP(I31,'Emission Factors'!$M$432:$M$787,'Emission Factors'!$U$432:$U$787))))</f>
        <v/>
      </c>
      <c r="X31" s="332" t="str">
        <f>IF(F31="Distance",1,IF(K31="","",IF(OR($K31="Litre",$K31="Tonne"),_xlfn.XLOOKUP(H31&amp;N31&amp;M31,Conversions!$E$20:$E$104,Conversions!$F$20:$F$104),INDEX(Conversions!$C$4:$I$10,MATCH('V3 - Downstream Transport'!$M31,Conversions!$B$4:$B$10,0),MATCH('V3 - Downstream Transport'!$N31,Conversions!$C$3:$I$3,0)))))</f>
        <v/>
      </c>
      <c r="Y31" s="309" t="str">
        <f>IF(K31="","",_xlfn.XLOOKUP(I31,'Emission Factors'!$M$432:$M$787,'Emission Factors'!$S$432:$S$787)*X31)</f>
        <v/>
      </c>
      <c r="Z31" s="305" t="str">
        <f>IF(K31="","","kgCO2e/"&amp;V31)</f>
        <v/>
      </c>
      <c r="AA31" s="129" t="str">
        <f>IF(ISBLANK(J31)=TRUE,"",IF(ISBLANK(Y31)=TRUE,"",IF(K31="tonne.km",J31*L31*Y31/1000,(J31*Y31)/1000)))</f>
        <v/>
      </c>
      <c r="AB31" s="303" t="str">
        <f>IF(K31="","",_xlfn.XLOOKUP(I31,'Emission Factors'!$M$432:$M$787,'Emission Factors'!$W$432:$W$787))</f>
        <v/>
      </c>
      <c r="AC31" s="67"/>
      <c r="AD31" s="151"/>
    </row>
    <row r="32" spans="1:30">
      <c r="B32" s="166"/>
      <c r="C32" s="173"/>
      <c r="D32" s="103"/>
      <c r="E32" s="146"/>
      <c r="F32" s="103"/>
      <c r="G32" s="103"/>
      <c r="H32" s="103"/>
      <c r="I32" s="105" t="str">
        <f t="shared" ref="I32:I60" si="9">H32&amp;G32</f>
        <v/>
      </c>
      <c r="J32" s="143"/>
      <c r="K32" s="103"/>
      <c r="L32" s="143"/>
      <c r="M32" s="97" t="str">
        <f t="shared" si="6"/>
        <v/>
      </c>
      <c r="N32" s="303" t="str" cm="1">
        <f t="array" ref="N32">IF(K32="","",IF(F32="Distance",_xlfn.XLOOKUP(I32&amp;K32,'Emission Factors'!$M$196:$M$352&amp;'Emission Factors'!$U$196:$U$352,'Emission Factors'!$U$196:$U$352),IF(F32="Fuel Use",_xlfn.XLOOKUP(I32,'Emission Factors'!$M$196:$M$352,'Emission Factors'!$U$196:$U$352))))</f>
        <v/>
      </c>
      <c r="O32" s="305" t="str">
        <f>IF(F32="Distance",1,IF(K32="","",IF(OR($K32="Litre",$K32="Tonne"),_xlfn.XLOOKUP(H32&amp;N32&amp;M32,Conversions!$E$20:$E$104,Conversions!$F$20:$F$104),INDEX(Conversions!$C$4:$I$10,MATCH('V3 - Downstream Transport'!$M32,Conversions!$B$4:$B$10,0),MATCH('V3 - Downstream Transport'!$N32,Conversions!$C$3:$I$3,0)))))</f>
        <v/>
      </c>
      <c r="P32" s="309" t="str" cm="1">
        <f t="array" ref="P32">IF(F32="Distance",_xlfn.XLOOKUP(I32&amp;K32,'Emission Factors'!$M:$M&amp;'Emission Factors'!$U:$U,'Emission Factors'!$T:$T),IF(K32="","",_xlfn.XLOOKUP(I32,'Emission Factors'!$M$196:$M$352,'Emission Factors'!$T$196:$T$352)*O32))</f>
        <v/>
      </c>
      <c r="Q32" s="305" t="str">
        <f t="shared" si="7"/>
        <v/>
      </c>
      <c r="R32" s="144" t="str">
        <f>IF(ISBLANK(J32)=TRUE,"",IF(ISBLANK(P32)=TRUE,"",IF(K32="tonne.km",J32*L32*P32/1000,(J32*P32)/1000)))</f>
        <v/>
      </c>
      <c r="S32" s="303" t="str">
        <f>IF(K32="","",_xlfn.XLOOKUP(I32,'Emission Factors'!$M:$M,'Emission Factors'!$W:$W))</f>
        <v/>
      </c>
      <c r="T32" s="146"/>
      <c r="U32" s="67"/>
      <c r="V32" s="303" t="str">
        <f t="shared" ref="V32:V60" si="10">M32</f>
        <v/>
      </c>
      <c r="W32" s="303" t="str" cm="1">
        <f t="array" ref="W32">IF(K32="","",IF(F32="Distance",_xlfn.XLOOKUP(I32&amp;K32,'Emission Factors'!$M$432:$M$787&amp;'Emission Factors'!$U$432:$U$787,'Emission Factors'!$U$432:$U$787),IF(F32="Fuel Use",_xlfn.XLOOKUP(I32,'Emission Factors'!$M$432:$M$787,'Emission Factors'!$U$432:$U$787))))</f>
        <v/>
      </c>
      <c r="X32" s="332" t="str">
        <f>IF(F32="Distance",1,IF(K32="","",IF(OR($K32="Litre",$K32="Tonne"),_xlfn.XLOOKUP(H32&amp;N32&amp;M32,Conversions!$E$20:$E$104,Conversions!$F$20:$F$104),INDEX(Conversions!$C$4:$I$10,MATCH('V3 - Downstream Transport'!$M32,Conversions!$B$4:$B$10,0),MATCH('V3 - Downstream Transport'!$N32,Conversions!$C$3:$I$3,0)))))</f>
        <v/>
      </c>
      <c r="Y32" s="309" t="str">
        <f>IF(K32="","",_xlfn.XLOOKUP(I32,'Emission Factors'!$M$432:$M$787,'Emission Factors'!$S$432:$S$787)*X32)</f>
        <v/>
      </c>
      <c r="Z32" s="305" t="str">
        <f t="shared" ref="Z32:Z60" si="11">IF(K32="","","kgCO2e/"&amp;V32)</f>
        <v/>
      </c>
      <c r="AA32" s="129" t="str">
        <f t="shared" ref="AA32:AA60" si="12">IF(ISBLANK(J32)=TRUE,"",IF(ISBLANK(Y32)=TRUE,"",IF(K32="tonne.km",J32*L32*Y32/1000,(J32*Y32)/1000)))</f>
        <v/>
      </c>
      <c r="AB32" s="303" t="str">
        <f>IF(K32="","",_xlfn.XLOOKUP(I32,'Emission Factors'!$M$432:$M$787,'Emission Factors'!$W$432:$W$787))</f>
        <v/>
      </c>
      <c r="AC32" s="67"/>
      <c r="AD32" s="151"/>
    </row>
    <row r="33" spans="2:30">
      <c r="B33" s="166"/>
      <c r="C33" s="173"/>
      <c r="D33" s="103"/>
      <c r="E33" s="146"/>
      <c r="F33" s="103"/>
      <c r="G33" s="103"/>
      <c r="H33" s="103"/>
      <c r="I33" s="105" t="str">
        <f t="shared" si="9"/>
        <v/>
      </c>
      <c r="J33" s="148"/>
      <c r="K33" s="103"/>
      <c r="L33" s="143"/>
      <c r="M33" s="97" t="str">
        <f t="shared" si="6"/>
        <v/>
      </c>
      <c r="N33" s="303" t="str" cm="1">
        <f t="array" ref="N33">IF(K33="","",IF(F33="Distance",_xlfn.XLOOKUP(I33&amp;K33,'Emission Factors'!$M$196:$M$352&amp;'Emission Factors'!$U$196:$U$352,'Emission Factors'!$U$196:$U$352),IF(F33="Fuel Use",_xlfn.XLOOKUP(I33,'Emission Factors'!$M$196:$M$352,'Emission Factors'!$U$196:$U$352))))</f>
        <v/>
      </c>
      <c r="O33" s="305" t="str">
        <f>IF(F33="Distance",1,IF(K33="","",IF(OR($K33="Litre",$K33="Tonne"),_xlfn.XLOOKUP(H33&amp;N33&amp;M33,Conversions!$E$20:$E$104,Conversions!$F$20:$F$104),INDEX(Conversions!$C$4:$I$10,MATCH('V3 - Downstream Transport'!$M33,Conversions!$B$4:$B$10,0),MATCH('V3 - Downstream Transport'!$N33,Conversions!$C$3:$I$3,0)))))</f>
        <v/>
      </c>
      <c r="P33" s="309" t="str" cm="1">
        <f t="array" ref="P33">IF(F33="Distance",_xlfn.XLOOKUP(I33&amp;K33,'Emission Factors'!$M:$M&amp;'Emission Factors'!$U:$U,'Emission Factors'!$T:$T),IF(K33="","",_xlfn.XLOOKUP(I33,'Emission Factors'!$M$196:$M$352,'Emission Factors'!$T$196:$T$352)*O33))</f>
        <v/>
      </c>
      <c r="Q33" s="305" t="str">
        <f t="shared" si="7"/>
        <v/>
      </c>
      <c r="R33" s="144" t="str">
        <f t="shared" ref="R33:R60" si="13">IF(ISBLANK(J33)=TRUE,"",IF(ISBLANK(P33)=TRUE,"",IF(K33="tonne.km",J33*L33*P33/1000,(J33*P33)/1000)))</f>
        <v/>
      </c>
      <c r="S33" s="303" t="str">
        <f>IF(K33="","",_xlfn.XLOOKUP(I33,'Emission Factors'!$M:$M,'Emission Factors'!$W:$W))</f>
        <v/>
      </c>
      <c r="T33" s="146"/>
      <c r="U33" s="67"/>
      <c r="V33" s="303" t="str">
        <f t="shared" si="10"/>
        <v/>
      </c>
      <c r="W33" s="303" t="str" cm="1">
        <f t="array" ref="W33">IF(K33="","",IF(F33="Distance",_xlfn.XLOOKUP(I33&amp;K33,'Emission Factors'!$M$432:$M$787&amp;'Emission Factors'!$U$432:$U$787,'Emission Factors'!$U$432:$U$787),IF(F33="Fuel Use",_xlfn.XLOOKUP(I33,'Emission Factors'!$M$432:$M$787,'Emission Factors'!$U$432:$U$787))))</f>
        <v/>
      </c>
      <c r="X33" s="332" t="str">
        <f>IF(F33="Distance",1,IF(K33="","",IF(OR($K33="Litre",$K33="Tonne"),_xlfn.XLOOKUP(H33&amp;N33&amp;M33,Conversions!$E$20:$E$104,Conversions!$F$20:$F$104),INDEX(Conversions!$C$4:$I$10,MATCH('V3 - Downstream Transport'!$M33,Conversions!$B$4:$B$10,0),MATCH('V3 - Downstream Transport'!$N33,Conversions!$C$3:$I$3,0)))))</f>
        <v/>
      </c>
      <c r="Y33" s="309" t="str">
        <f>IF(K33="","",_xlfn.XLOOKUP(I33,'Emission Factors'!$M$432:$M$787,'Emission Factors'!$S$432:$S$787)*X33)</f>
        <v/>
      </c>
      <c r="Z33" s="305" t="str">
        <f t="shared" si="11"/>
        <v/>
      </c>
      <c r="AA33" s="129" t="str">
        <f t="shared" si="12"/>
        <v/>
      </c>
      <c r="AB33" s="303" t="str">
        <f>IF(K33="","",_xlfn.XLOOKUP(I33,'Emission Factors'!$M$432:$M$787,'Emission Factors'!$W$432:$W$787))</f>
        <v/>
      </c>
      <c r="AC33" s="67"/>
      <c r="AD33" s="151"/>
    </row>
    <row r="34" spans="2:30">
      <c r="B34" s="166"/>
      <c r="C34" s="173"/>
      <c r="D34" s="103"/>
      <c r="E34" s="146"/>
      <c r="F34" s="103"/>
      <c r="G34" s="103"/>
      <c r="H34" s="103"/>
      <c r="I34" s="105" t="str">
        <f>H34&amp;G34</f>
        <v/>
      </c>
      <c r="J34" s="148"/>
      <c r="K34" s="103"/>
      <c r="L34" s="143"/>
      <c r="M34" s="97" t="str">
        <f>IF(K34="","",K34)</f>
        <v/>
      </c>
      <c r="N34" s="303" t="str" cm="1">
        <f t="array" ref="N34">IF(K34="","",IF(F34="Distance",_xlfn.XLOOKUP(I34&amp;K34,'Emission Factors'!$M$196:$M$352&amp;'Emission Factors'!$U$196:$U$352,'Emission Factors'!$U$196:$U$352),IF(F34="Fuel Use",_xlfn.XLOOKUP(I34,'Emission Factors'!$M$196:$M$352,'Emission Factors'!$U$196:$U$352))))</f>
        <v/>
      </c>
      <c r="O34" s="305" t="str">
        <f>IF(F34="Distance",1,IF(K34="","",IF(OR($K34="Litre",$K34="Tonne"),_xlfn.XLOOKUP(H34&amp;N34&amp;M34,Conversions!$E$20:$E$104,Conversions!$F$20:$F$104),INDEX(Conversions!$C$4:$I$10,MATCH('V3 - Downstream Transport'!$M34,Conversions!$B$4:$B$10,0),MATCH('V3 - Downstream Transport'!$N34,Conversions!$C$3:$I$3,0)))))</f>
        <v/>
      </c>
      <c r="P34" s="309" t="str" cm="1">
        <f t="array" ref="P34">IF(F34="Distance",_xlfn.XLOOKUP(I34&amp;K34,'Emission Factors'!$M:$M&amp;'Emission Factors'!$U:$U,'Emission Factors'!$T:$T),IF(K34="","",_xlfn.XLOOKUP(I34,'Emission Factors'!$M$196:$M$352,'Emission Factors'!$T$196:$T$352)*O34))</f>
        <v/>
      </c>
      <c r="Q34" s="305" t="str">
        <f>IF(K34="","","kgCO2e/"&amp;M34)</f>
        <v/>
      </c>
      <c r="R34" s="144" t="str">
        <f>IF(ISBLANK(J34)=TRUE,"",IF(ISBLANK(P34)=TRUE,"",IF(K34="tonne.km",J34*L34*P34/1000,(J34*P34)/1000)))</f>
        <v/>
      </c>
      <c r="S34" s="303" t="str">
        <f>IF(K34="","",_xlfn.XLOOKUP(I34,'Emission Factors'!$M:$M,'Emission Factors'!$W:$W))</f>
        <v/>
      </c>
      <c r="T34" s="146"/>
      <c r="U34" s="67"/>
      <c r="V34" s="303" t="str">
        <f t="shared" si="10"/>
        <v/>
      </c>
      <c r="W34" s="303" t="str" cm="1">
        <f t="array" ref="W34">IF(K34="","",IF(F34="Distance",_xlfn.XLOOKUP(I34&amp;K34,'Emission Factors'!$M$432:$M$787&amp;'Emission Factors'!$U$432:$U$787,'Emission Factors'!$U$432:$U$787),IF(F34="Fuel Use",_xlfn.XLOOKUP(I34,'Emission Factors'!$M$432:$M$787,'Emission Factors'!$U$432:$U$787))))</f>
        <v/>
      </c>
      <c r="X34" s="332" t="str">
        <f>IF(F34="Distance",1,IF(K34="","",IF(OR($K34="Litre",$K34="Tonne"),_xlfn.XLOOKUP(H34&amp;N34&amp;M34,Conversions!$E$20:$E$104,Conversions!$F$20:$F$104),INDEX(Conversions!$C$4:$I$10,MATCH('V3 - Downstream Transport'!$M34,Conversions!$B$4:$B$10,0),MATCH('V3 - Downstream Transport'!$N34,Conversions!$C$3:$I$3,0)))))</f>
        <v/>
      </c>
      <c r="Y34" s="309" t="str">
        <f>IF(K34="","",_xlfn.XLOOKUP(I34,'Emission Factors'!$M$432:$M$787,'Emission Factors'!$S$432:$S$787)*X34)</f>
        <v/>
      </c>
      <c r="Z34" s="305" t="str">
        <f t="shared" si="11"/>
        <v/>
      </c>
      <c r="AA34" s="129" t="str">
        <f t="shared" si="12"/>
        <v/>
      </c>
      <c r="AB34" s="303" t="str">
        <f>IF(K34="","",_xlfn.XLOOKUP(I34,'Emission Factors'!$M$432:$M$787,'Emission Factors'!$W$432:$W$787))</f>
        <v/>
      </c>
      <c r="AC34" s="67"/>
      <c r="AD34" s="151"/>
    </row>
    <row r="35" spans="2:30">
      <c r="B35" s="166"/>
      <c r="C35" s="173"/>
      <c r="D35" s="103"/>
      <c r="E35" s="149"/>
      <c r="F35" s="103"/>
      <c r="G35" s="103"/>
      <c r="H35" s="103"/>
      <c r="I35" s="105" t="str">
        <f>H35&amp;G35</f>
        <v/>
      </c>
      <c r="J35" s="148"/>
      <c r="K35" s="103"/>
      <c r="L35" s="143"/>
      <c r="M35" s="97" t="str">
        <f>IF(K35="","",K35)</f>
        <v/>
      </c>
      <c r="N35" s="303" t="str" cm="1">
        <f t="array" ref="N35">IF(K35="","",IF(F35="Distance",_xlfn.XLOOKUP(I35&amp;K35,'Emission Factors'!$M$196:$M$352&amp;'Emission Factors'!$U$196:$U$352,'Emission Factors'!$U$196:$U$352),IF(F35="Fuel Use",_xlfn.XLOOKUP(I35,'Emission Factors'!$M$196:$M$352,'Emission Factors'!$U$196:$U$352))))</f>
        <v/>
      </c>
      <c r="O35" s="305" t="str">
        <f>IF(F35="Distance",1,IF(K35="","",IF(OR($K35="Litre",$K35="Tonne"),_xlfn.XLOOKUP(H35&amp;N35&amp;M35,Conversions!$E$20:$E$104,Conversions!$F$20:$F$104),INDEX(Conversions!$C$4:$I$10,MATCH('V3 - Downstream Transport'!$M35,Conversions!$B$4:$B$10,0),MATCH('V3 - Downstream Transport'!$N35,Conversions!$C$3:$I$3,0)))))</f>
        <v/>
      </c>
      <c r="P35" s="309" t="str" cm="1">
        <f t="array" ref="P35">IF(F35="Distance",_xlfn.XLOOKUP(I35&amp;K35,'Emission Factors'!$M:$M&amp;'Emission Factors'!$U:$U,'Emission Factors'!$T:$T),IF(K35="","",_xlfn.XLOOKUP(I35,'Emission Factors'!$M$196:$M$352,'Emission Factors'!$T$196:$T$352)*O35))</f>
        <v/>
      </c>
      <c r="Q35" s="305" t="str">
        <f>IF(K35="","","kgCO2e/"&amp;M35)</f>
        <v/>
      </c>
      <c r="R35" s="144" t="str">
        <f>IF(ISBLANK(J35)=TRUE,"",IF(ISBLANK(P35)=TRUE,"",IF(K35="tonne.km",J35*L35*P35/1000,(J35*P35)/1000)))</f>
        <v/>
      </c>
      <c r="S35" s="303" t="str">
        <f>IF(K35="","",_xlfn.XLOOKUP(I35,'Emission Factors'!$M:$M,'Emission Factors'!$W:$W))</f>
        <v/>
      </c>
      <c r="T35" s="146"/>
      <c r="U35" s="67"/>
      <c r="V35" s="303" t="str">
        <f t="shared" si="10"/>
        <v/>
      </c>
      <c r="W35" s="303" t="str" cm="1">
        <f t="array" ref="W35">IF(K35="","",IF(F35="Distance",_xlfn.XLOOKUP(I35&amp;K35,'Emission Factors'!$M$432:$M$787&amp;'Emission Factors'!$U$432:$U$787,'Emission Factors'!$U$432:$U$787),IF(F35="Fuel Use",_xlfn.XLOOKUP(I35,'Emission Factors'!$M$432:$M$787,'Emission Factors'!$U$432:$U$787))))</f>
        <v/>
      </c>
      <c r="X35" s="332" t="str">
        <f>IF(F35="Distance",1,IF(K35="","",IF(OR($K35="Litre",$K35="Tonne"),_xlfn.XLOOKUP(H35&amp;N35&amp;M35,Conversions!$E$20:$E$104,Conversions!$F$20:$F$104),INDEX(Conversions!$C$4:$I$10,MATCH('V3 - Downstream Transport'!$M35,Conversions!$B$4:$B$10,0),MATCH('V3 - Downstream Transport'!$N35,Conversions!$C$3:$I$3,0)))))</f>
        <v/>
      </c>
      <c r="Y35" s="309" t="str">
        <f>IF(K35="","",_xlfn.XLOOKUP(I35,'Emission Factors'!$M$432:$M$787,'Emission Factors'!$S$432:$S$787)*X35)</f>
        <v/>
      </c>
      <c r="Z35" s="305" t="str">
        <f t="shared" si="11"/>
        <v/>
      </c>
      <c r="AA35" s="129" t="str">
        <f t="shared" si="12"/>
        <v/>
      </c>
      <c r="AB35" s="303" t="str">
        <f>IF(K35="","",_xlfn.XLOOKUP(I35,'Emission Factors'!$M$432:$M$787,'Emission Factors'!$W$432:$W$787))</f>
        <v/>
      </c>
      <c r="AC35" s="67"/>
      <c r="AD35" s="151"/>
    </row>
    <row r="36" spans="2:30">
      <c r="B36" s="166"/>
      <c r="C36" s="173"/>
      <c r="D36" s="103"/>
      <c r="E36" s="146"/>
      <c r="F36" s="103"/>
      <c r="G36" s="103"/>
      <c r="H36" s="103"/>
      <c r="I36" s="105" t="str">
        <f t="shared" si="9"/>
        <v/>
      </c>
      <c r="J36" s="148"/>
      <c r="K36" s="103"/>
      <c r="L36" s="143"/>
      <c r="M36" s="97" t="str">
        <f t="shared" si="6"/>
        <v/>
      </c>
      <c r="N36" s="303" t="str" cm="1">
        <f t="array" ref="N36">IF(K36="","",IF(F36="Distance",_xlfn.XLOOKUP(I36&amp;K36,'Emission Factors'!$M$196:$M$352&amp;'Emission Factors'!$U$196:$U$352,'Emission Factors'!$U$196:$U$352),IF(F36="Fuel Use",_xlfn.XLOOKUP(I36,'Emission Factors'!$M$196:$M$352,'Emission Factors'!$U$196:$U$352))))</f>
        <v/>
      </c>
      <c r="O36" s="305" t="str">
        <f>IF(F36="Distance",1,IF(K36="","",IF(OR($K36="Litre",$K36="Tonne"),_xlfn.XLOOKUP(H36&amp;N36&amp;M36,Conversions!$E$20:$E$104,Conversions!$F$20:$F$104),INDEX(Conversions!$C$4:$I$10,MATCH('V3 - Downstream Transport'!$M36,Conversions!$B$4:$B$10,0),MATCH('V3 - Downstream Transport'!$N36,Conversions!$C$3:$I$3,0)))))</f>
        <v/>
      </c>
      <c r="P36" s="309" t="str" cm="1">
        <f t="array" ref="P36">IF(F36="Distance",_xlfn.XLOOKUP(I36&amp;K36,'Emission Factors'!$M:$M&amp;'Emission Factors'!$U:$U,'Emission Factors'!$T:$T),IF(K36="","",_xlfn.XLOOKUP(I36,'Emission Factors'!$M$196:$M$352,'Emission Factors'!$T$196:$T$352)*O36))</f>
        <v/>
      </c>
      <c r="Q36" s="305" t="str">
        <f t="shared" si="7"/>
        <v/>
      </c>
      <c r="R36" s="144" t="str">
        <f t="shared" si="13"/>
        <v/>
      </c>
      <c r="S36" s="303" t="str">
        <f>IF(K36="","",_xlfn.XLOOKUP(I36,'Emission Factors'!$M:$M,'Emission Factors'!$W:$W))</f>
        <v/>
      </c>
      <c r="T36" s="146"/>
      <c r="U36" s="67"/>
      <c r="V36" s="303" t="str">
        <f t="shared" si="10"/>
        <v/>
      </c>
      <c r="W36" s="303" t="str" cm="1">
        <f t="array" ref="W36">IF(K36="","",IF(F36="Distance",_xlfn.XLOOKUP(I36&amp;K36,'Emission Factors'!$M$432:$M$787&amp;'Emission Factors'!$U$432:$U$787,'Emission Factors'!$U$432:$U$787),IF(F36="Fuel Use",_xlfn.XLOOKUP(I36,'Emission Factors'!$M$432:$M$787,'Emission Factors'!$U$432:$U$787))))</f>
        <v/>
      </c>
      <c r="X36" s="332" t="str">
        <f>IF(F36="Distance",1,IF(K36="","",IF(OR($K36="Litre",$K36="Tonne"),_xlfn.XLOOKUP(H36&amp;N36&amp;M36,Conversions!$E$20:$E$104,Conversions!$F$20:$F$104),INDEX(Conversions!$C$4:$I$10,MATCH('V3 - Downstream Transport'!$M36,Conversions!$B$4:$B$10,0),MATCH('V3 - Downstream Transport'!$N36,Conversions!$C$3:$I$3,0)))))</f>
        <v/>
      </c>
      <c r="Y36" s="309" t="str">
        <f>IF(K36="","",_xlfn.XLOOKUP(I36,'Emission Factors'!$M$432:$M$787,'Emission Factors'!$S$432:$S$787)*X36)</f>
        <v/>
      </c>
      <c r="Z36" s="305" t="str">
        <f t="shared" si="11"/>
        <v/>
      </c>
      <c r="AA36" s="129" t="str">
        <f t="shared" si="12"/>
        <v/>
      </c>
      <c r="AB36" s="303" t="str">
        <f>IF(K36="","",_xlfn.XLOOKUP(I36,'Emission Factors'!$M$432:$M$787,'Emission Factors'!$W$432:$W$787))</f>
        <v/>
      </c>
      <c r="AC36" s="67"/>
      <c r="AD36" s="151"/>
    </row>
    <row r="37" spans="2:30">
      <c r="B37" s="166"/>
      <c r="C37" s="173"/>
      <c r="D37" s="103"/>
      <c r="E37" s="146"/>
      <c r="F37" s="103"/>
      <c r="G37" s="103"/>
      <c r="H37" s="103"/>
      <c r="I37" s="105" t="str">
        <f t="shared" si="9"/>
        <v/>
      </c>
      <c r="J37" s="148"/>
      <c r="K37" s="103"/>
      <c r="L37" s="143"/>
      <c r="M37" s="97" t="str">
        <f t="shared" si="6"/>
        <v/>
      </c>
      <c r="N37" s="303" t="str" cm="1">
        <f t="array" ref="N37">IF(K37="","",IF(F37="Distance",_xlfn.XLOOKUP(I37&amp;K37,'Emission Factors'!$M$196:$M$352&amp;'Emission Factors'!$U$196:$U$352,'Emission Factors'!$U$196:$U$352),IF(F37="Fuel Use",_xlfn.XLOOKUP(I37,'Emission Factors'!$M$196:$M$352,'Emission Factors'!$U$196:$U$352))))</f>
        <v/>
      </c>
      <c r="O37" s="305" t="str">
        <f>IF(F37="Distance",1,IF(K37="","",IF(OR($K37="Litre",$K37="Tonne"),_xlfn.XLOOKUP(H37&amp;N37&amp;M37,Conversions!$E$20:$E$104,Conversions!$F$20:$F$104),INDEX(Conversions!$C$4:$I$10,MATCH('V3 - Downstream Transport'!$M37,Conversions!$B$4:$B$10,0),MATCH('V3 - Downstream Transport'!$N37,Conversions!$C$3:$I$3,0)))))</f>
        <v/>
      </c>
      <c r="P37" s="309" t="str" cm="1">
        <f t="array" ref="P37">IF(F37="Distance",_xlfn.XLOOKUP(I37&amp;K37,'Emission Factors'!$M:$M&amp;'Emission Factors'!$U:$U,'Emission Factors'!$T:$T),IF(K37="","",_xlfn.XLOOKUP(I37,'Emission Factors'!$M$196:$M$352,'Emission Factors'!$T$196:$T$352)*O37))</f>
        <v/>
      </c>
      <c r="Q37" s="305" t="str">
        <f t="shared" si="7"/>
        <v/>
      </c>
      <c r="R37" s="144" t="str">
        <f t="shared" si="13"/>
        <v/>
      </c>
      <c r="S37" s="303" t="str">
        <f>IF(K37="","",_xlfn.XLOOKUP(I37,'Emission Factors'!$M:$M,'Emission Factors'!$W:$W))</f>
        <v/>
      </c>
      <c r="T37" s="146"/>
      <c r="U37" s="67"/>
      <c r="V37" s="303" t="str">
        <f t="shared" si="10"/>
        <v/>
      </c>
      <c r="W37" s="303" t="str" cm="1">
        <f t="array" ref="W37">IF(K37="","",IF(F37="Distance",_xlfn.XLOOKUP(I37&amp;K37,'Emission Factors'!$M$432:$M$787&amp;'Emission Factors'!$U$432:$U$787,'Emission Factors'!$U$432:$U$787),IF(F37="Fuel Use",_xlfn.XLOOKUP(I37,'Emission Factors'!$M$432:$M$787,'Emission Factors'!$U$432:$U$787))))</f>
        <v/>
      </c>
      <c r="X37" s="332" t="str">
        <f>IF(F37="Distance",1,IF(K37="","",IF(OR($K37="Litre",$K37="Tonne"),_xlfn.XLOOKUP(H37&amp;N37&amp;M37,Conversions!$E$20:$E$104,Conversions!$F$20:$F$104),INDEX(Conversions!$C$4:$I$10,MATCH('V3 - Downstream Transport'!$M37,Conversions!$B$4:$B$10,0),MATCH('V3 - Downstream Transport'!$N37,Conversions!$C$3:$I$3,0)))))</f>
        <v/>
      </c>
      <c r="Y37" s="309" t="str">
        <f>IF(K37="","",_xlfn.XLOOKUP(I37,'Emission Factors'!$M$432:$M$787,'Emission Factors'!$S$432:$S$787)*X37)</f>
        <v/>
      </c>
      <c r="Z37" s="305" t="str">
        <f t="shared" si="11"/>
        <v/>
      </c>
      <c r="AA37" s="129" t="str">
        <f t="shared" si="12"/>
        <v/>
      </c>
      <c r="AB37" s="303" t="str">
        <f>IF(K37="","",_xlfn.XLOOKUP(I37,'Emission Factors'!$M$432:$M$787,'Emission Factors'!$W$432:$W$787))</f>
        <v/>
      </c>
      <c r="AC37" s="67"/>
      <c r="AD37" s="151"/>
    </row>
    <row r="38" spans="2:30">
      <c r="B38" s="166"/>
      <c r="C38" s="173"/>
      <c r="D38" s="103"/>
      <c r="E38" s="146"/>
      <c r="F38" s="103"/>
      <c r="G38" s="103"/>
      <c r="H38" s="103"/>
      <c r="I38" s="105" t="str">
        <f>H38&amp;G38</f>
        <v/>
      </c>
      <c r="J38" s="148"/>
      <c r="K38" s="103"/>
      <c r="L38" s="143"/>
      <c r="M38" s="97" t="str">
        <f>IF(K38="","",K38)</f>
        <v/>
      </c>
      <c r="N38" s="303" t="str" cm="1">
        <f t="array" ref="N38">IF(K38="","",IF(F38="Distance",_xlfn.XLOOKUP(I38&amp;K38,'Emission Factors'!$M$196:$M$352&amp;'Emission Factors'!$U$196:$U$352,'Emission Factors'!$U$196:$U$352),IF(F38="Fuel Use",_xlfn.XLOOKUP(I38,'Emission Factors'!$M$196:$M$352,'Emission Factors'!$U$196:$U$352))))</f>
        <v/>
      </c>
      <c r="O38" s="305" t="str">
        <f>IF(F38="Distance",1,IF(K38="","",IF(OR($K38="Litre",$K38="Tonne"),_xlfn.XLOOKUP(H38&amp;N38&amp;M38,Conversions!$E$20:$E$104,Conversions!$F$20:$F$104),INDEX(Conversions!$C$4:$I$10,MATCH('V3 - Downstream Transport'!$M38,Conversions!$B$4:$B$10,0),MATCH('V3 - Downstream Transport'!$N38,Conversions!$C$3:$I$3,0)))))</f>
        <v/>
      </c>
      <c r="P38" s="309" t="str" cm="1">
        <f t="array" ref="P38">IF(F38="Distance",_xlfn.XLOOKUP(I38&amp;K38,'Emission Factors'!$M:$M&amp;'Emission Factors'!$U:$U,'Emission Factors'!$T:$T),IF(K38="","",_xlfn.XLOOKUP(I38,'Emission Factors'!$M$196:$M$352,'Emission Factors'!$T$196:$T$352)*O38))</f>
        <v/>
      </c>
      <c r="Q38" s="305" t="str">
        <f>IF(K38="","","kgCO2e/"&amp;M38)</f>
        <v/>
      </c>
      <c r="R38" s="144" t="str">
        <f>IF(ISBLANK(J38)=TRUE,"",IF(ISBLANK(P38)=TRUE,"",IF(K38="tonne.km",J38*L38*P38/1000,(J38*P38)/1000)))</f>
        <v/>
      </c>
      <c r="S38" s="303" t="str">
        <f>IF(K38="","",_xlfn.XLOOKUP(I38,'Emission Factors'!$M:$M,'Emission Factors'!$W:$W))</f>
        <v/>
      </c>
      <c r="T38" s="146"/>
      <c r="U38" s="67"/>
      <c r="V38" s="303" t="str">
        <f t="shared" si="10"/>
        <v/>
      </c>
      <c r="W38" s="303" t="str" cm="1">
        <f t="array" ref="W38">IF(K38="","",IF(F38="Distance",_xlfn.XLOOKUP(I38&amp;K38,'Emission Factors'!$M$432:$M$787&amp;'Emission Factors'!$U$432:$U$787,'Emission Factors'!$U$432:$U$787),IF(F38="Fuel Use",_xlfn.XLOOKUP(I38,'Emission Factors'!$M$432:$M$787,'Emission Factors'!$U$432:$U$787))))</f>
        <v/>
      </c>
      <c r="X38" s="332" t="str">
        <f>IF(F38="Distance",1,IF(K38="","",IF(OR($K38="Litre",$K38="Tonne"),_xlfn.XLOOKUP(H38&amp;N38&amp;M38,Conversions!$E$20:$E$104,Conversions!$F$20:$F$104),INDEX(Conversions!$C$4:$I$10,MATCH('V3 - Downstream Transport'!$M38,Conversions!$B$4:$B$10,0),MATCH('V3 - Downstream Transport'!$N38,Conversions!$C$3:$I$3,0)))))</f>
        <v/>
      </c>
      <c r="Y38" s="309" t="str">
        <f>IF(K38="","",_xlfn.XLOOKUP(I38,'Emission Factors'!$M$432:$M$787,'Emission Factors'!$S$432:$S$787)*X38)</f>
        <v/>
      </c>
      <c r="Z38" s="305" t="str">
        <f t="shared" si="11"/>
        <v/>
      </c>
      <c r="AA38" s="129" t="str">
        <f t="shared" si="12"/>
        <v/>
      </c>
      <c r="AB38" s="303" t="str">
        <f>IF(K38="","",_xlfn.XLOOKUP(I38,'Emission Factors'!$M$432:$M$787,'Emission Factors'!$W$432:$W$787))</f>
        <v/>
      </c>
      <c r="AC38" s="67"/>
      <c r="AD38" s="151"/>
    </row>
    <row r="39" spans="2:30">
      <c r="B39" s="166"/>
      <c r="C39" s="173"/>
      <c r="D39" s="103"/>
      <c r="E39" s="146"/>
      <c r="F39" s="103"/>
      <c r="G39" s="103"/>
      <c r="H39" s="103"/>
      <c r="I39" s="105" t="str">
        <f>H39&amp;G39</f>
        <v/>
      </c>
      <c r="J39" s="148"/>
      <c r="K39" s="103"/>
      <c r="L39" s="143"/>
      <c r="M39" s="97" t="str">
        <f>IF(K39="","",K39)</f>
        <v/>
      </c>
      <c r="N39" s="303" t="str" cm="1">
        <f t="array" ref="N39">IF(K39="","",IF(F39="Distance",_xlfn.XLOOKUP(I39&amp;K39,'Emission Factors'!$M$196:$M$352&amp;'Emission Factors'!$U$196:$U$352,'Emission Factors'!$U$196:$U$352),IF(F39="Fuel Use",_xlfn.XLOOKUP(I39,'Emission Factors'!$M$196:$M$352,'Emission Factors'!$U$196:$U$352))))</f>
        <v/>
      </c>
      <c r="O39" s="305" t="str">
        <f>IF(F39="Distance",1,IF(K39="","",IF(OR($K39="Litre",$K39="Tonne"),_xlfn.XLOOKUP(H39&amp;N39&amp;M39,Conversions!$E$20:$E$104,Conversions!$F$20:$F$104),INDEX(Conversions!$C$4:$I$10,MATCH('V3 - Downstream Transport'!$M39,Conversions!$B$4:$B$10,0),MATCH('V3 - Downstream Transport'!$N39,Conversions!$C$3:$I$3,0)))))</f>
        <v/>
      </c>
      <c r="P39" s="309" t="str" cm="1">
        <f t="array" ref="P39">IF(F39="Distance",_xlfn.XLOOKUP(I39&amp;K39,'Emission Factors'!$M:$M&amp;'Emission Factors'!$U:$U,'Emission Factors'!$T:$T),IF(K39="","",_xlfn.XLOOKUP(I39,'Emission Factors'!$M$196:$M$352,'Emission Factors'!$T$196:$T$352)*O39))</f>
        <v/>
      </c>
      <c r="Q39" s="305" t="str">
        <f>IF(K39="","","kgCO2e/"&amp;M39)</f>
        <v/>
      </c>
      <c r="R39" s="144" t="str">
        <f>IF(ISBLANK(J39)=TRUE,"",IF(ISBLANK(P39)=TRUE,"",IF(K39="tonne.km",J39*L39*P39/1000,(J39*P39)/1000)))</f>
        <v/>
      </c>
      <c r="S39" s="303" t="str">
        <f>IF(K39="","",_xlfn.XLOOKUP(I39,'Emission Factors'!$M:$M,'Emission Factors'!$W:$W))</f>
        <v/>
      </c>
      <c r="T39" s="146"/>
      <c r="U39" s="67"/>
      <c r="V39" s="303" t="str">
        <f t="shared" si="10"/>
        <v/>
      </c>
      <c r="W39" s="303" t="str" cm="1">
        <f t="array" ref="W39">IF(K39="","",IF(F39="Distance",_xlfn.XLOOKUP(I39&amp;K39,'Emission Factors'!$M$432:$M$787&amp;'Emission Factors'!$U$432:$U$787,'Emission Factors'!$U$432:$U$787),IF(F39="Fuel Use",_xlfn.XLOOKUP(I39,'Emission Factors'!$M$432:$M$787,'Emission Factors'!$U$432:$U$787))))</f>
        <v/>
      </c>
      <c r="X39" s="332" t="str">
        <f>IF(F39="Distance",1,IF(K39="","",IF(OR($K39="Litre",$K39="Tonne"),_xlfn.XLOOKUP(H39&amp;N39&amp;M39,Conversions!$E$20:$E$104,Conversions!$F$20:$F$104),INDEX(Conversions!$C$4:$I$10,MATCH('V3 - Downstream Transport'!$M39,Conversions!$B$4:$B$10,0),MATCH('V3 - Downstream Transport'!$N39,Conversions!$C$3:$I$3,0)))))</f>
        <v/>
      </c>
      <c r="Y39" s="309" t="str">
        <f>IF(K39="","",_xlfn.XLOOKUP(I39,'Emission Factors'!$M$432:$M$787,'Emission Factors'!$S$432:$S$787)*X39)</f>
        <v/>
      </c>
      <c r="Z39" s="305" t="str">
        <f t="shared" si="11"/>
        <v/>
      </c>
      <c r="AA39" s="129" t="str">
        <f t="shared" si="12"/>
        <v/>
      </c>
      <c r="AB39" s="303" t="str">
        <f>IF(K39="","",_xlfn.XLOOKUP(I39,'Emission Factors'!$M$432:$M$787,'Emission Factors'!$W$432:$W$787))</f>
        <v/>
      </c>
      <c r="AC39" s="67"/>
      <c r="AD39" s="151"/>
    </row>
    <row r="40" spans="2:30">
      <c r="B40" s="166"/>
      <c r="C40" s="173"/>
      <c r="D40" s="103"/>
      <c r="E40" s="146"/>
      <c r="F40" s="103"/>
      <c r="G40" s="103"/>
      <c r="H40" s="103"/>
      <c r="I40" s="105" t="str">
        <f>H40&amp;G40</f>
        <v/>
      </c>
      <c r="J40" s="148"/>
      <c r="K40" s="103"/>
      <c r="L40" s="143"/>
      <c r="M40" s="97" t="str">
        <f>IF(K40="","",K40)</f>
        <v/>
      </c>
      <c r="N40" s="303" t="str" cm="1">
        <f t="array" ref="N40">IF(K40="","",IF(F40="Distance",_xlfn.XLOOKUP(I40&amp;K40,'Emission Factors'!$M$196:$M$352&amp;'Emission Factors'!$U$196:$U$352,'Emission Factors'!$U$196:$U$352),IF(F40="Fuel Use",_xlfn.XLOOKUP(I40,'Emission Factors'!$M$196:$M$352,'Emission Factors'!$U$196:$U$352))))</f>
        <v/>
      </c>
      <c r="O40" s="305" t="str">
        <f>IF(F40="Distance",1,IF(K40="","",IF(OR($K40="Litre",$K40="Tonne"),_xlfn.XLOOKUP(H40&amp;N40&amp;M40,Conversions!$E$20:$E$104,Conversions!$F$20:$F$104),INDEX(Conversions!$C$4:$I$10,MATCH('V3 - Downstream Transport'!$M40,Conversions!$B$4:$B$10,0),MATCH('V3 - Downstream Transport'!$N40,Conversions!$C$3:$I$3,0)))))</f>
        <v/>
      </c>
      <c r="P40" s="309" t="str" cm="1">
        <f t="array" ref="P40">IF(F40="Distance",_xlfn.XLOOKUP(I40&amp;K40,'Emission Factors'!$M:$M&amp;'Emission Factors'!$U:$U,'Emission Factors'!$T:$T),IF(K40="","",_xlfn.XLOOKUP(I40,'Emission Factors'!$M$196:$M$352,'Emission Factors'!$T$196:$T$352)*O40))</f>
        <v/>
      </c>
      <c r="Q40" s="305" t="str">
        <f>IF(K40="","","kgCO2e/"&amp;M40)</f>
        <v/>
      </c>
      <c r="R40" s="144" t="str">
        <f>IF(ISBLANK(J40)=TRUE,"",IF(ISBLANK(P40)=TRUE,"",IF(K40="tonne.km",J40*L40*P40/1000,(J40*P40)/1000)))</f>
        <v/>
      </c>
      <c r="S40" s="303" t="str">
        <f>IF(K40="","",_xlfn.XLOOKUP(I40,'Emission Factors'!$M:$M,'Emission Factors'!$W:$W))</f>
        <v/>
      </c>
      <c r="T40" s="146"/>
      <c r="U40" s="67"/>
      <c r="V40" s="303" t="str">
        <f t="shared" si="10"/>
        <v/>
      </c>
      <c r="W40" s="303" t="str" cm="1">
        <f t="array" ref="W40">IF(K40="","",IF(F40="Distance",_xlfn.XLOOKUP(I40&amp;K40,'Emission Factors'!$M$432:$M$787&amp;'Emission Factors'!$U$432:$U$787,'Emission Factors'!$U$432:$U$787),IF(F40="Fuel Use",_xlfn.XLOOKUP(I40,'Emission Factors'!$M$432:$M$787,'Emission Factors'!$U$432:$U$787))))</f>
        <v/>
      </c>
      <c r="X40" s="332" t="str">
        <f>IF(F40="Distance",1,IF(K40="","",IF(OR($K40="Litre",$K40="Tonne"),_xlfn.XLOOKUP(H40&amp;N40&amp;M40,Conversions!$E$20:$E$104,Conversions!$F$20:$F$104),INDEX(Conversions!$C$4:$I$10,MATCH('V3 - Downstream Transport'!$M40,Conversions!$B$4:$B$10,0),MATCH('V3 - Downstream Transport'!$N40,Conversions!$C$3:$I$3,0)))))</f>
        <v/>
      </c>
      <c r="Y40" s="309" t="str">
        <f>IF(K40="","",_xlfn.XLOOKUP(I40,'Emission Factors'!$M$432:$M$787,'Emission Factors'!$S$432:$S$787)*X40)</f>
        <v/>
      </c>
      <c r="Z40" s="305" t="str">
        <f t="shared" si="11"/>
        <v/>
      </c>
      <c r="AA40" s="129" t="str">
        <f t="shared" si="12"/>
        <v/>
      </c>
      <c r="AB40" s="303" t="str">
        <f>IF(K40="","",_xlfn.XLOOKUP(I40,'Emission Factors'!$M$432:$M$787,'Emission Factors'!$W$432:$W$787))</f>
        <v/>
      </c>
      <c r="AC40" s="67"/>
      <c r="AD40" s="151"/>
    </row>
    <row r="41" spans="2:30">
      <c r="B41" s="166"/>
      <c r="C41" s="173"/>
      <c r="D41" s="103"/>
      <c r="E41" s="146"/>
      <c r="F41" s="103"/>
      <c r="G41" s="103"/>
      <c r="H41" s="103"/>
      <c r="I41" s="105" t="str">
        <f t="shared" si="9"/>
        <v/>
      </c>
      <c r="J41" s="148"/>
      <c r="K41" s="103"/>
      <c r="L41" s="143"/>
      <c r="M41" s="97" t="str">
        <f>IF(K41="","",K41)</f>
        <v/>
      </c>
      <c r="N41" s="303" t="str" cm="1">
        <f t="array" ref="N41">IF(K41="","",IF(F41="Distance",_xlfn.XLOOKUP(I41&amp;K41,'Emission Factors'!$M$196:$M$352&amp;'Emission Factors'!$U$196:$U$352,'Emission Factors'!$U$196:$U$352),IF(F41="Fuel Use",_xlfn.XLOOKUP(I41,'Emission Factors'!$M$196:$M$352,'Emission Factors'!$U$196:$U$352))))</f>
        <v/>
      </c>
      <c r="O41" s="305" t="str">
        <f>IF(F41="Distance",1,IF(K41="","",IF(OR($K41="Litre",$K41="Tonne"),_xlfn.XLOOKUP(H41&amp;N41&amp;M41,Conversions!$E$20:$E$104,Conversions!$F$20:$F$104),INDEX(Conversions!$C$4:$I$10,MATCH('V3 - Downstream Transport'!$M41,Conversions!$B$4:$B$10,0),MATCH('V3 - Downstream Transport'!$N41,Conversions!$C$3:$I$3,0)))))</f>
        <v/>
      </c>
      <c r="P41" s="309" t="str" cm="1">
        <f t="array" ref="P41">IF(F41="Distance",_xlfn.XLOOKUP(I41&amp;K41,'Emission Factors'!$M:$M&amp;'Emission Factors'!$U:$U,'Emission Factors'!$T:$T),IF(K41="","",_xlfn.XLOOKUP(I41,'Emission Factors'!$M$196:$M$352,'Emission Factors'!$T$196:$T$352)*O41))</f>
        <v/>
      </c>
      <c r="Q41" s="305" t="str">
        <f>IF(K41="","","kgCO2e/"&amp;M41)</f>
        <v/>
      </c>
      <c r="R41" s="144" t="str">
        <f>IF(ISBLANK(J41)=TRUE,"",IF(ISBLANK(P41)=TRUE,"",IF(K41="tonne.km",J41*L41*P41/1000,(J41*P41)/1000)))</f>
        <v/>
      </c>
      <c r="S41" s="303" t="str">
        <f>IF(K41="","",_xlfn.XLOOKUP(I41,'Emission Factors'!$M:$M,'Emission Factors'!$W:$W))</f>
        <v/>
      </c>
      <c r="T41" s="146"/>
      <c r="U41" s="67"/>
      <c r="V41" s="303" t="str">
        <f t="shared" si="10"/>
        <v/>
      </c>
      <c r="W41" s="303" t="str" cm="1">
        <f t="array" ref="W41">IF(K41="","",IF(F41="Distance",_xlfn.XLOOKUP(I41&amp;K41,'Emission Factors'!$M$432:$M$787&amp;'Emission Factors'!$U$432:$U$787,'Emission Factors'!$U$432:$U$787),IF(F41="Fuel Use",_xlfn.XLOOKUP(I41,'Emission Factors'!$M$432:$M$787,'Emission Factors'!$U$432:$U$787))))</f>
        <v/>
      </c>
      <c r="X41" s="332" t="str">
        <f>IF(F41="Distance",1,IF(K41="","",IF(OR($K41="Litre",$K41="Tonne"),_xlfn.XLOOKUP(H41&amp;N41&amp;M41,Conversions!$E$20:$E$104,Conversions!$F$20:$F$104),INDEX(Conversions!$C$4:$I$10,MATCH('V3 - Downstream Transport'!$M41,Conversions!$B$4:$B$10,0),MATCH('V3 - Downstream Transport'!$N41,Conversions!$C$3:$I$3,0)))))</f>
        <v/>
      </c>
      <c r="Y41" s="309" t="str">
        <f>IF(K41="","",_xlfn.XLOOKUP(I41,'Emission Factors'!$M$432:$M$787,'Emission Factors'!$S$432:$S$787)*X41)</f>
        <v/>
      </c>
      <c r="Z41" s="305" t="str">
        <f t="shared" si="11"/>
        <v/>
      </c>
      <c r="AA41" s="129" t="str">
        <f t="shared" si="12"/>
        <v/>
      </c>
      <c r="AB41" s="303" t="str">
        <f>IF(K41="","",_xlfn.XLOOKUP(I41,'Emission Factors'!$M$432:$M$787,'Emission Factors'!$W$432:$W$787))</f>
        <v/>
      </c>
      <c r="AC41" s="67"/>
      <c r="AD41" s="151"/>
    </row>
    <row r="42" spans="2:30">
      <c r="B42" s="166"/>
      <c r="C42" s="173"/>
      <c r="D42" s="103"/>
      <c r="E42" s="146"/>
      <c r="F42" s="103"/>
      <c r="G42" s="103"/>
      <c r="H42" s="103"/>
      <c r="I42" s="105" t="str">
        <f t="shared" si="9"/>
        <v/>
      </c>
      <c r="J42" s="148"/>
      <c r="K42" s="103"/>
      <c r="L42" s="143"/>
      <c r="M42" s="97" t="str">
        <f t="shared" si="6"/>
        <v/>
      </c>
      <c r="N42" s="303" t="str" cm="1">
        <f t="array" ref="N42">IF(K42="","",IF(F42="Distance",_xlfn.XLOOKUP(I42&amp;K42,'Emission Factors'!$M$196:$M$352&amp;'Emission Factors'!$U$196:$U$352,'Emission Factors'!$U$196:$U$352),IF(F42="Fuel Use",_xlfn.XLOOKUP(I42,'Emission Factors'!$M$196:$M$352,'Emission Factors'!$U$196:$U$352))))</f>
        <v/>
      </c>
      <c r="O42" s="305" t="str">
        <f>IF(F42="Distance",1,IF(K42="","",IF(OR($K42="Litre",$K42="Tonne"),_xlfn.XLOOKUP(H42&amp;N42&amp;M42,Conversions!$E$20:$E$104,Conversions!$F$20:$F$104),INDEX(Conversions!$C$4:$I$10,MATCH('V3 - Downstream Transport'!$M42,Conversions!$B$4:$B$10,0),MATCH('V3 - Downstream Transport'!$N42,Conversions!$C$3:$I$3,0)))))</f>
        <v/>
      </c>
      <c r="P42" s="309" t="str" cm="1">
        <f t="array" ref="P42">IF(F42="Distance",_xlfn.XLOOKUP(I42&amp;K42,'Emission Factors'!$M:$M&amp;'Emission Factors'!$U:$U,'Emission Factors'!$T:$T),IF(K42="","",_xlfn.XLOOKUP(I42,'Emission Factors'!$M$196:$M$352,'Emission Factors'!$T$196:$T$352)*O42))</f>
        <v/>
      </c>
      <c r="Q42" s="305" t="str">
        <f t="shared" si="7"/>
        <v/>
      </c>
      <c r="R42" s="144" t="str">
        <f t="shared" si="13"/>
        <v/>
      </c>
      <c r="S42" s="303" t="str">
        <f>IF(K42="","",_xlfn.XLOOKUP(I42,'Emission Factors'!$M:$M,'Emission Factors'!$W:$W))</f>
        <v/>
      </c>
      <c r="T42" s="146"/>
      <c r="U42" s="67"/>
      <c r="V42" s="303" t="str">
        <f t="shared" si="10"/>
        <v/>
      </c>
      <c r="W42" s="303" t="str" cm="1">
        <f t="array" ref="W42">IF(K42="","",IF(F42="Distance",_xlfn.XLOOKUP(I42&amp;K42,'Emission Factors'!$M$432:$M$787&amp;'Emission Factors'!$U$432:$U$787,'Emission Factors'!$U$432:$U$787),IF(F42="Fuel Use",_xlfn.XLOOKUP(I42,'Emission Factors'!$M$432:$M$787,'Emission Factors'!$U$432:$U$787))))</f>
        <v/>
      </c>
      <c r="X42" s="332" t="str">
        <f>IF(F42="Distance",1,IF(K42="","",IF(OR($K42="Litre",$K42="Tonne"),_xlfn.XLOOKUP(H42&amp;N42&amp;M42,Conversions!$E$20:$E$104,Conversions!$F$20:$F$104),INDEX(Conversions!$C$4:$I$10,MATCH('V3 - Downstream Transport'!$M42,Conversions!$B$4:$B$10,0),MATCH('V3 - Downstream Transport'!$N42,Conversions!$C$3:$I$3,0)))))</f>
        <v/>
      </c>
      <c r="Y42" s="309" t="str">
        <f>IF(K42="","",_xlfn.XLOOKUP(I42,'Emission Factors'!$M$432:$M$787,'Emission Factors'!$S$432:$S$787)*X42)</f>
        <v/>
      </c>
      <c r="Z42" s="305" t="str">
        <f t="shared" si="11"/>
        <v/>
      </c>
      <c r="AA42" s="129" t="str">
        <f t="shared" si="12"/>
        <v/>
      </c>
      <c r="AB42" s="303" t="str">
        <f>IF(K42="","",_xlfn.XLOOKUP(I42,'Emission Factors'!$M$432:$M$787,'Emission Factors'!$W$432:$W$787))</f>
        <v/>
      </c>
      <c r="AC42" s="67"/>
      <c r="AD42" s="151"/>
    </row>
    <row r="43" spans="2:30">
      <c r="B43" s="166"/>
      <c r="C43" s="173"/>
      <c r="D43" s="103"/>
      <c r="E43" s="146"/>
      <c r="F43" s="103"/>
      <c r="G43" s="103"/>
      <c r="H43" s="103"/>
      <c r="I43" s="105" t="str">
        <f>H43&amp;G43</f>
        <v/>
      </c>
      <c r="J43" s="148"/>
      <c r="K43" s="103"/>
      <c r="L43" s="143"/>
      <c r="M43" s="97" t="str">
        <f t="shared" si="6"/>
        <v/>
      </c>
      <c r="N43" s="303" t="str" cm="1">
        <f t="array" ref="N43">IF(K43="","",IF(F43="Distance",_xlfn.XLOOKUP(I43&amp;K43,'Emission Factors'!$M$196:$M$352&amp;'Emission Factors'!$U$196:$U$352,'Emission Factors'!$U$196:$U$352),IF(F43="Fuel Use",_xlfn.XLOOKUP(I43,'Emission Factors'!$M$196:$M$352,'Emission Factors'!$U$196:$U$352))))</f>
        <v/>
      </c>
      <c r="O43" s="305" t="str">
        <f>IF(F43="Distance",1,IF(K43="","",IF(OR($K43="Litre",$K43="Tonne"),_xlfn.XLOOKUP(H43&amp;N43&amp;M43,Conversions!$E$20:$E$104,Conversions!$F$20:$F$104),INDEX(Conversions!$C$4:$I$10,MATCH('V3 - Downstream Transport'!$M43,Conversions!$B$4:$B$10,0),MATCH('V3 - Downstream Transport'!$N43,Conversions!$C$3:$I$3,0)))))</f>
        <v/>
      </c>
      <c r="P43" s="309" t="str" cm="1">
        <f t="array" ref="P43">IF(F43="Distance",_xlfn.XLOOKUP(I43&amp;K43,'Emission Factors'!$M:$M&amp;'Emission Factors'!$U:$U,'Emission Factors'!$T:$T),IF(K43="","",_xlfn.XLOOKUP(I43,'Emission Factors'!$M$196:$M$352,'Emission Factors'!$T$196:$T$352)*O43))</f>
        <v/>
      </c>
      <c r="Q43" s="305" t="str">
        <f t="shared" si="7"/>
        <v/>
      </c>
      <c r="R43" s="144" t="str">
        <f t="shared" si="13"/>
        <v/>
      </c>
      <c r="S43" s="303" t="str">
        <f>IF(K43="","",_xlfn.XLOOKUP(I43,'Emission Factors'!$M:$M,'Emission Factors'!$W:$W))</f>
        <v/>
      </c>
      <c r="T43" s="146"/>
      <c r="U43" s="67"/>
      <c r="V43" s="303" t="str">
        <f t="shared" si="10"/>
        <v/>
      </c>
      <c r="W43" s="303" t="str" cm="1">
        <f t="array" ref="W43">IF(K43="","",IF(F43="Distance",_xlfn.XLOOKUP(I43&amp;K43,'Emission Factors'!$M$432:$M$787&amp;'Emission Factors'!$U$432:$U$787,'Emission Factors'!$U$432:$U$787),IF(F43="Fuel Use",_xlfn.XLOOKUP(I43,'Emission Factors'!$M$432:$M$787,'Emission Factors'!$U$432:$U$787))))</f>
        <v/>
      </c>
      <c r="X43" s="332" t="str">
        <f>IF(F43="Distance",1,IF(K43="","",IF(OR($K43="Litre",$K43="Tonne"),_xlfn.XLOOKUP(H43&amp;N43&amp;M43,Conversions!$E$20:$E$104,Conversions!$F$20:$F$104),INDEX(Conversions!$C$4:$I$10,MATCH('V3 - Downstream Transport'!$M43,Conversions!$B$4:$B$10,0),MATCH('V3 - Downstream Transport'!$N43,Conversions!$C$3:$I$3,0)))))</f>
        <v/>
      </c>
      <c r="Y43" s="309" t="str">
        <f>IF(K43="","",_xlfn.XLOOKUP(I43,'Emission Factors'!$M$432:$M$787,'Emission Factors'!$S$432:$S$787)*X43)</f>
        <v/>
      </c>
      <c r="Z43" s="305" t="str">
        <f t="shared" si="11"/>
        <v/>
      </c>
      <c r="AA43" s="129" t="str">
        <f t="shared" si="12"/>
        <v/>
      </c>
      <c r="AB43" s="303" t="str">
        <f>IF(K43="","",_xlfn.XLOOKUP(I43,'Emission Factors'!$M$432:$M$787,'Emission Factors'!$W$432:$W$787))</f>
        <v/>
      </c>
      <c r="AC43" s="67"/>
      <c r="AD43" s="151"/>
    </row>
    <row r="44" spans="2:30">
      <c r="B44" s="166"/>
      <c r="C44" s="173"/>
      <c r="D44" s="103"/>
      <c r="E44" s="146"/>
      <c r="F44" s="103"/>
      <c r="G44" s="103"/>
      <c r="H44" s="103"/>
      <c r="I44" s="105" t="str">
        <f>H44&amp;G44</f>
        <v/>
      </c>
      <c r="J44" s="148"/>
      <c r="K44" s="103"/>
      <c r="L44" s="143"/>
      <c r="M44" s="97" t="str">
        <f t="shared" si="6"/>
        <v/>
      </c>
      <c r="N44" s="303" t="str" cm="1">
        <f t="array" ref="N44">IF(K44="","",IF(F44="Distance",_xlfn.XLOOKUP(I44&amp;K44,'Emission Factors'!$M$196:$M$352&amp;'Emission Factors'!$U$196:$U$352,'Emission Factors'!$U$196:$U$352),IF(F44="Fuel Use",_xlfn.XLOOKUP(I44,'Emission Factors'!$M$196:$M$352,'Emission Factors'!$U$196:$U$352))))</f>
        <v/>
      </c>
      <c r="O44" s="305" t="str">
        <f>IF(F44="Distance",1,IF(K44="","",IF(OR($K44="Litre",$K44="Tonne"),_xlfn.XLOOKUP(H44&amp;N44&amp;M44,Conversions!$E$20:$E$104,Conversions!$F$20:$F$104),INDEX(Conversions!$C$4:$I$10,MATCH('V3 - Downstream Transport'!$M44,Conversions!$B$4:$B$10,0),MATCH('V3 - Downstream Transport'!$N44,Conversions!$C$3:$I$3,0)))))</f>
        <v/>
      </c>
      <c r="P44" s="309" t="str" cm="1">
        <f t="array" ref="P44">IF(F44="Distance",_xlfn.XLOOKUP(I44&amp;K44,'Emission Factors'!$M:$M&amp;'Emission Factors'!$U:$U,'Emission Factors'!$T:$T),IF(K44="","",_xlfn.XLOOKUP(I44,'Emission Factors'!$M$196:$M$352,'Emission Factors'!$T$196:$T$352)*O44))</f>
        <v/>
      </c>
      <c r="Q44" s="305" t="str">
        <f t="shared" si="7"/>
        <v/>
      </c>
      <c r="R44" s="144" t="str">
        <f>IF(ISBLANK(J44)=TRUE,"",IF(ISBLANK(P44)=TRUE,"",IF(K44="tonne.km",J44*L44*P44/1000,(J44*P44)/1000)))</f>
        <v/>
      </c>
      <c r="S44" s="303" t="str">
        <f>IF(K44="","",_xlfn.XLOOKUP(I44,'Emission Factors'!$M:$M,'Emission Factors'!$W:$W))</f>
        <v/>
      </c>
      <c r="T44" s="146"/>
      <c r="U44" s="67"/>
      <c r="V44" s="303" t="str">
        <f t="shared" si="10"/>
        <v/>
      </c>
      <c r="W44" s="303" t="str" cm="1">
        <f t="array" ref="W44">IF(K44="","",IF(F44="Distance",_xlfn.XLOOKUP(I44&amp;K44,'Emission Factors'!$M$432:$M$787&amp;'Emission Factors'!$U$432:$U$787,'Emission Factors'!$U$432:$U$787),IF(F44="Fuel Use",_xlfn.XLOOKUP(I44,'Emission Factors'!$M$432:$M$787,'Emission Factors'!$U$432:$U$787))))</f>
        <v/>
      </c>
      <c r="X44" s="332" t="str">
        <f>IF(F44="Distance",1,IF(K44="","",IF(OR($K44="Litre",$K44="Tonne"),_xlfn.XLOOKUP(H44&amp;N44&amp;M44,Conversions!$E$20:$E$104,Conversions!$F$20:$F$104),INDEX(Conversions!$C$4:$I$10,MATCH('V3 - Downstream Transport'!$M44,Conversions!$B$4:$B$10,0),MATCH('V3 - Downstream Transport'!$N44,Conversions!$C$3:$I$3,0)))))</f>
        <v/>
      </c>
      <c r="Y44" s="309" t="str">
        <f>IF(K44="","",_xlfn.XLOOKUP(I44,'Emission Factors'!$M$432:$M$787,'Emission Factors'!$S$432:$S$787)*X44)</f>
        <v/>
      </c>
      <c r="Z44" s="305" t="str">
        <f t="shared" si="11"/>
        <v/>
      </c>
      <c r="AA44" s="129" t="str">
        <f t="shared" si="12"/>
        <v/>
      </c>
      <c r="AB44" s="303" t="str">
        <f>IF(K44="","",_xlfn.XLOOKUP(I44,'Emission Factors'!$M$432:$M$787,'Emission Factors'!$W$432:$W$787))</f>
        <v/>
      </c>
      <c r="AC44" s="67"/>
      <c r="AD44" s="151"/>
    </row>
    <row r="45" spans="2:30">
      <c r="B45" s="166"/>
      <c r="C45" s="173"/>
      <c r="D45" s="103"/>
      <c r="E45" s="146"/>
      <c r="F45" s="103"/>
      <c r="G45" s="103"/>
      <c r="H45" s="103"/>
      <c r="I45" s="105" t="str">
        <f>H45&amp;G45</f>
        <v/>
      </c>
      <c r="J45" s="148"/>
      <c r="K45" s="103"/>
      <c r="L45" s="143"/>
      <c r="M45" s="97" t="str">
        <f t="shared" si="6"/>
        <v/>
      </c>
      <c r="N45" s="303" t="str" cm="1">
        <f t="array" ref="N45">IF(K45="","",IF(F45="Distance",_xlfn.XLOOKUP(I45&amp;K45,'Emission Factors'!$M$196:$M$352&amp;'Emission Factors'!$U$196:$U$352,'Emission Factors'!$U$196:$U$352),IF(F45="Fuel Use",_xlfn.XLOOKUP(I45,'Emission Factors'!$M$196:$M$352,'Emission Factors'!$U$196:$U$352))))</f>
        <v/>
      </c>
      <c r="O45" s="305" t="str">
        <f>IF(F45="Distance",1,IF(K45="","",IF(OR($K45="Litre",$K45="Tonne"),_xlfn.XLOOKUP(H45&amp;N45&amp;M45,Conversions!$E$20:$E$104,Conversions!$F$20:$F$104),INDEX(Conversions!$C$4:$I$10,MATCH('V3 - Downstream Transport'!$M45,Conversions!$B$4:$B$10,0),MATCH('V3 - Downstream Transport'!$N45,Conversions!$C$3:$I$3,0)))))</f>
        <v/>
      </c>
      <c r="P45" s="309" t="str" cm="1">
        <f t="array" ref="P45">IF(F45="Distance",_xlfn.XLOOKUP(I45&amp;K45,'Emission Factors'!$M:$M&amp;'Emission Factors'!$U:$U,'Emission Factors'!$T:$T),IF(K45="","",_xlfn.XLOOKUP(I45,'Emission Factors'!$M$196:$M$352,'Emission Factors'!$T$196:$T$352)*O45))</f>
        <v/>
      </c>
      <c r="Q45" s="305" t="str">
        <f t="shared" si="7"/>
        <v/>
      </c>
      <c r="R45" s="144" t="str">
        <f>IF(ISBLANK(J45)=TRUE,"",IF(ISBLANK(P45)=TRUE,"",IF(K45="tonne.km",J45*L45*P45/1000,(J45*P45)/1000)))</f>
        <v/>
      </c>
      <c r="S45" s="303" t="str">
        <f>IF(K45="","",_xlfn.XLOOKUP(I45,'Emission Factors'!$M:$M,'Emission Factors'!$W:$W))</f>
        <v/>
      </c>
      <c r="T45" s="146"/>
      <c r="U45" s="67"/>
      <c r="V45" s="303" t="str">
        <f t="shared" si="10"/>
        <v/>
      </c>
      <c r="W45" s="303" t="str" cm="1">
        <f t="array" ref="W45">IF(K45="","",IF(F45="Distance",_xlfn.XLOOKUP(I45&amp;K45,'Emission Factors'!$M$432:$M$787&amp;'Emission Factors'!$U$432:$U$787,'Emission Factors'!$U$432:$U$787),IF(F45="Fuel Use",_xlfn.XLOOKUP(I45,'Emission Factors'!$M$432:$M$787,'Emission Factors'!$U$432:$U$787))))</f>
        <v/>
      </c>
      <c r="X45" s="332" t="str">
        <f>IF(F45="Distance",1,IF(K45="","",IF(OR($K45="Litre",$K45="Tonne"),_xlfn.XLOOKUP(H45&amp;N45&amp;M45,Conversions!$E$20:$E$104,Conversions!$F$20:$F$104),INDEX(Conversions!$C$4:$I$10,MATCH('V3 - Downstream Transport'!$M45,Conversions!$B$4:$B$10,0),MATCH('V3 - Downstream Transport'!$N45,Conversions!$C$3:$I$3,0)))))</f>
        <v/>
      </c>
      <c r="Y45" s="309" t="str">
        <f>IF(K45="","",_xlfn.XLOOKUP(I45,'Emission Factors'!$M$432:$M$787,'Emission Factors'!$S$432:$S$787)*X45)</f>
        <v/>
      </c>
      <c r="Z45" s="305" t="str">
        <f t="shared" si="11"/>
        <v/>
      </c>
      <c r="AA45" s="129" t="str">
        <f t="shared" si="12"/>
        <v/>
      </c>
      <c r="AB45" s="303" t="str">
        <f>IF(K45="","",_xlfn.XLOOKUP(I45,'Emission Factors'!$M$432:$M$787,'Emission Factors'!$W$432:$W$787))</f>
        <v/>
      </c>
      <c r="AC45" s="67"/>
      <c r="AD45" s="151"/>
    </row>
    <row r="46" spans="2:30">
      <c r="B46" s="166"/>
      <c r="C46" s="173"/>
      <c r="D46" s="103"/>
      <c r="E46" s="146"/>
      <c r="F46" s="103"/>
      <c r="G46" s="103"/>
      <c r="H46" s="103"/>
      <c r="I46" s="105" t="str">
        <f t="shared" si="9"/>
        <v/>
      </c>
      <c r="J46" s="148"/>
      <c r="K46" s="103"/>
      <c r="L46" s="143"/>
      <c r="M46" s="97" t="str">
        <f t="shared" si="6"/>
        <v/>
      </c>
      <c r="N46" s="303" t="str" cm="1">
        <f t="array" ref="N46">IF(K46="","",IF(F46="Distance",_xlfn.XLOOKUP(I46&amp;K46,'Emission Factors'!$M$196:$M$352&amp;'Emission Factors'!$U$196:$U$352,'Emission Factors'!$U$196:$U$352),IF(F46="Fuel Use",_xlfn.XLOOKUP(I46,'Emission Factors'!$M$196:$M$352,'Emission Factors'!$U$196:$U$352))))</f>
        <v/>
      </c>
      <c r="O46" s="305" t="str">
        <f>IF(F46="Distance",1,IF(K46="","",IF(OR($K46="Litre",$K46="Tonne"),_xlfn.XLOOKUP(H46&amp;N46&amp;M46,Conversions!$E$20:$E$104,Conversions!$F$20:$F$104),INDEX(Conversions!$C$4:$I$10,MATCH('V3 - Downstream Transport'!$M46,Conversions!$B$4:$B$10,0),MATCH('V3 - Downstream Transport'!$N46,Conversions!$C$3:$I$3,0)))))</f>
        <v/>
      </c>
      <c r="P46" s="309" t="str" cm="1">
        <f t="array" ref="P46">IF(F46="Distance",_xlfn.XLOOKUP(I46&amp;K46,'Emission Factors'!$M:$M&amp;'Emission Factors'!$U:$U,'Emission Factors'!$T:$T),IF(K46="","",_xlfn.XLOOKUP(I46,'Emission Factors'!$M$196:$M$352,'Emission Factors'!$T$196:$T$352)*O46))</f>
        <v/>
      </c>
      <c r="Q46" s="305" t="str">
        <f t="shared" si="7"/>
        <v/>
      </c>
      <c r="R46" s="144" t="str">
        <f t="shared" si="13"/>
        <v/>
      </c>
      <c r="S46" s="303" t="str">
        <f>IF(K46="","",_xlfn.XLOOKUP(I46,'Emission Factors'!$M:$M,'Emission Factors'!$W:$W))</f>
        <v/>
      </c>
      <c r="T46" s="146"/>
      <c r="U46" s="67"/>
      <c r="V46" s="303" t="str">
        <f t="shared" si="10"/>
        <v/>
      </c>
      <c r="W46" s="303" t="str" cm="1">
        <f t="array" ref="W46">IF(K46="","",IF(F46="Distance",_xlfn.XLOOKUP(I46&amp;K46,'Emission Factors'!$M$432:$M$787&amp;'Emission Factors'!$U$432:$U$787,'Emission Factors'!$U$432:$U$787),IF(F46="Fuel Use",_xlfn.XLOOKUP(I46,'Emission Factors'!$M$432:$M$787,'Emission Factors'!$U$432:$U$787))))</f>
        <v/>
      </c>
      <c r="X46" s="332" t="str">
        <f>IF(F46="Distance",1,IF(K46="","",IF(OR($K46="Litre",$K46="Tonne"),_xlfn.XLOOKUP(H46&amp;N46&amp;M46,Conversions!$E$20:$E$104,Conversions!$F$20:$F$104),INDEX(Conversions!$C$4:$I$10,MATCH('V3 - Downstream Transport'!$M46,Conversions!$B$4:$B$10,0),MATCH('V3 - Downstream Transport'!$N46,Conversions!$C$3:$I$3,0)))))</f>
        <v/>
      </c>
      <c r="Y46" s="309" t="str">
        <f>IF(K46="","",_xlfn.XLOOKUP(I46,'Emission Factors'!$M$432:$M$787,'Emission Factors'!$S$432:$S$787)*X46)</f>
        <v/>
      </c>
      <c r="Z46" s="305" t="str">
        <f t="shared" si="11"/>
        <v/>
      </c>
      <c r="AA46" s="129" t="str">
        <f t="shared" si="12"/>
        <v/>
      </c>
      <c r="AB46" s="303" t="str">
        <f>IF(K46="","",_xlfn.XLOOKUP(I46,'Emission Factors'!$M$432:$M$787,'Emission Factors'!$W$432:$W$787))</f>
        <v/>
      </c>
      <c r="AC46" s="67"/>
      <c r="AD46" s="151"/>
    </row>
    <row r="47" spans="2:30">
      <c r="B47" s="166"/>
      <c r="C47" s="173"/>
      <c r="D47" s="103"/>
      <c r="E47" s="146"/>
      <c r="F47" s="103"/>
      <c r="G47" s="103"/>
      <c r="H47" s="103"/>
      <c r="I47" s="105" t="str">
        <f>H47&amp;G47</f>
        <v/>
      </c>
      <c r="J47" s="148"/>
      <c r="K47" s="103"/>
      <c r="L47" s="143"/>
      <c r="M47" s="97" t="str">
        <f>IF(K47="","",K47)</f>
        <v/>
      </c>
      <c r="N47" s="303" t="str" cm="1">
        <f t="array" ref="N47">IF(K47="","",IF(F47="Distance",_xlfn.XLOOKUP(I47&amp;K47,'Emission Factors'!$M$196:$M$352&amp;'Emission Factors'!$U$196:$U$352,'Emission Factors'!$U$196:$U$352),IF(F47="Fuel Use",_xlfn.XLOOKUP(I47,'Emission Factors'!$M$196:$M$352,'Emission Factors'!$U$196:$U$352))))</f>
        <v/>
      </c>
      <c r="O47" s="305" t="str">
        <f>IF(F47="Distance",1,IF(K47="","",IF(OR($K47="Litre",$K47="Tonne"),_xlfn.XLOOKUP(H47&amp;N47&amp;M47,Conversions!$E$20:$E$104,Conversions!$F$20:$F$104),INDEX(Conversions!$C$4:$I$10,MATCH('V3 - Downstream Transport'!$M47,Conversions!$B$4:$B$10,0),MATCH('V3 - Downstream Transport'!$N47,Conversions!$C$3:$I$3,0)))))</f>
        <v/>
      </c>
      <c r="P47" s="309" t="str" cm="1">
        <f t="array" ref="P47">IF(F47="Distance",_xlfn.XLOOKUP(I47&amp;K47,'Emission Factors'!$M:$M&amp;'Emission Factors'!$U:$U,'Emission Factors'!$T:$T),IF(K47="","",_xlfn.XLOOKUP(I47,'Emission Factors'!$M$196:$M$352,'Emission Factors'!$T$196:$T$352)*O47))</f>
        <v/>
      </c>
      <c r="Q47" s="305" t="str">
        <f>IF(K47="","","kgCO2e/"&amp;M47)</f>
        <v/>
      </c>
      <c r="R47" s="144" t="str">
        <f>IF(ISBLANK(J47)=TRUE,"",IF(ISBLANK(P47)=TRUE,"",IF(K47="tonne.km",J47*L47*P47/1000,(J47*P47)/1000)))</f>
        <v/>
      </c>
      <c r="S47" s="303" t="str">
        <f>IF(K47="","",_xlfn.XLOOKUP(I47,'Emission Factors'!$M:$M,'Emission Factors'!$W:$W))</f>
        <v/>
      </c>
      <c r="T47" s="146"/>
      <c r="U47" s="67"/>
      <c r="V47" s="303" t="str">
        <f t="shared" si="10"/>
        <v/>
      </c>
      <c r="W47" s="303" t="str" cm="1">
        <f t="array" ref="W47">IF(K47="","",IF(F47="Distance",_xlfn.XLOOKUP(I47&amp;K47,'Emission Factors'!$M$432:$M$787&amp;'Emission Factors'!$U$432:$U$787,'Emission Factors'!$U$432:$U$787),IF(F47="Fuel Use",_xlfn.XLOOKUP(I47,'Emission Factors'!$M$432:$M$787,'Emission Factors'!$U$432:$U$787))))</f>
        <v/>
      </c>
      <c r="X47" s="332" t="str">
        <f>IF(F47="Distance",1,IF(K47="","",IF(OR($K47="Litre",$K47="Tonne"),_xlfn.XLOOKUP(H47&amp;N47&amp;M47,Conversions!$E$20:$E$104,Conversions!$F$20:$F$104),INDEX(Conversions!$C$4:$I$10,MATCH('V3 - Downstream Transport'!$M47,Conversions!$B$4:$B$10,0),MATCH('V3 - Downstream Transport'!$N47,Conversions!$C$3:$I$3,0)))))</f>
        <v/>
      </c>
      <c r="Y47" s="309" t="str">
        <f>IF(K47="","",_xlfn.XLOOKUP(I47,'Emission Factors'!$M$432:$M$787,'Emission Factors'!$S$432:$S$787)*X47)</f>
        <v/>
      </c>
      <c r="Z47" s="305" t="str">
        <f t="shared" si="11"/>
        <v/>
      </c>
      <c r="AA47" s="129" t="str">
        <f t="shared" si="12"/>
        <v/>
      </c>
      <c r="AB47" s="303" t="str">
        <f>IF(K47="","",_xlfn.XLOOKUP(I47,'Emission Factors'!$M$432:$M$787,'Emission Factors'!$W$432:$W$787))</f>
        <v/>
      </c>
      <c r="AC47" s="67"/>
      <c r="AD47" s="151"/>
    </row>
    <row r="48" spans="2:30">
      <c r="B48" s="166"/>
      <c r="C48" s="173"/>
      <c r="D48" s="103"/>
      <c r="E48" s="146"/>
      <c r="F48" s="103"/>
      <c r="G48" s="103"/>
      <c r="H48" s="103"/>
      <c r="I48" s="105" t="str">
        <f>H48&amp;G48</f>
        <v/>
      </c>
      <c r="J48" s="148"/>
      <c r="K48" s="103"/>
      <c r="L48" s="143"/>
      <c r="M48" s="97" t="str">
        <f>IF(K48="","",K48)</f>
        <v/>
      </c>
      <c r="N48" s="303" t="str" cm="1">
        <f t="array" ref="N48">IF(K48="","",IF(F48="Distance",_xlfn.XLOOKUP(I48&amp;K48,'Emission Factors'!$M$196:$M$352&amp;'Emission Factors'!$U$196:$U$352,'Emission Factors'!$U$196:$U$352),IF(F48="Fuel Use",_xlfn.XLOOKUP(I48,'Emission Factors'!$M$196:$M$352,'Emission Factors'!$U$196:$U$352))))</f>
        <v/>
      </c>
      <c r="O48" s="305" t="str">
        <f>IF(F48="Distance",1,IF(K48="","",IF(OR($K48="Litre",$K48="Tonne"),_xlfn.XLOOKUP(H48&amp;N48&amp;M48,Conversions!$E$20:$E$104,Conversions!$F$20:$F$104),INDEX(Conversions!$C$4:$I$10,MATCH('V3 - Downstream Transport'!$M48,Conversions!$B$4:$B$10,0),MATCH('V3 - Downstream Transport'!$N48,Conversions!$C$3:$I$3,0)))))</f>
        <v/>
      </c>
      <c r="P48" s="309" t="str" cm="1">
        <f t="array" ref="P48">IF(F48="Distance",_xlfn.XLOOKUP(I48&amp;K48,'Emission Factors'!$M:$M&amp;'Emission Factors'!$U:$U,'Emission Factors'!$T:$T),IF(K48="","",_xlfn.XLOOKUP(I48,'Emission Factors'!$M$196:$M$352,'Emission Factors'!$T$196:$T$352)*O48))</f>
        <v/>
      </c>
      <c r="Q48" s="305" t="str">
        <f>IF(K48="","","kgCO2e/"&amp;M48)</f>
        <v/>
      </c>
      <c r="R48" s="144" t="str">
        <f>IF(ISBLANK(J48)=TRUE,"",IF(ISBLANK(P48)=TRUE,"",IF(K48="tonne.km",J48*L48*P48/1000,(J48*P48)/1000)))</f>
        <v/>
      </c>
      <c r="S48" s="303" t="str">
        <f>IF(K48="","",_xlfn.XLOOKUP(I48,'Emission Factors'!$M:$M,'Emission Factors'!$W:$W))</f>
        <v/>
      </c>
      <c r="T48" s="146"/>
      <c r="U48" s="67"/>
      <c r="V48" s="303" t="str">
        <f t="shared" si="10"/>
        <v/>
      </c>
      <c r="W48" s="303" t="str" cm="1">
        <f t="array" ref="W48">IF(K48="","",IF(F48="Distance",_xlfn.XLOOKUP(I48&amp;K48,'Emission Factors'!$M$432:$M$787&amp;'Emission Factors'!$U$432:$U$787,'Emission Factors'!$U$432:$U$787),IF(F48="Fuel Use",_xlfn.XLOOKUP(I48,'Emission Factors'!$M$432:$M$787,'Emission Factors'!$U$432:$U$787))))</f>
        <v/>
      </c>
      <c r="X48" s="332" t="str">
        <f>IF(F48="Distance",1,IF(K48="","",IF(OR($K48="Litre",$K48="Tonne"),_xlfn.XLOOKUP(H48&amp;N48&amp;M48,Conversions!$E$20:$E$104,Conversions!$F$20:$F$104),INDEX(Conversions!$C$4:$I$10,MATCH('V3 - Downstream Transport'!$M48,Conversions!$B$4:$B$10,0),MATCH('V3 - Downstream Transport'!$N48,Conversions!$C$3:$I$3,0)))))</f>
        <v/>
      </c>
      <c r="Y48" s="309" t="str">
        <f>IF(K48="","",_xlfn.XLOOKUP(I48,'Emission Factors'!$M$432:$M$787,'Emission Factors'!$S$432:$S$787)*X48)</f>
        <v/>
      </c>
      <c r="Z48" s="305" t="str">
        <f t="shared" si="11"/>
        <v/>
      </c>
      <c r="AA48" s="129" t="str">
        <f t="shared" si="12"/>
        <v/>
      </c>
      <c r="AB48" s="303" t="str">
        <f>IF(K48="","",_xlfn.XLOOKUP(I48,'Emission Factors'!$M$432:$M$787,'Emission Factors'!$W$432:$W$787))</f>
        <v/>
      </c>
      <c r="AC48" s="67"/>
      <c r="AD48" s="151"/>
    </row>
    <row r="49" spans="2:30">
      <c r="B49" s="166"/>
      <c r="C49" s="173"/>
      <c r="D49" s="103"/>
      <c r="E49" s="146"/>
      <c r="F49" s="103"/>
      <c r="G49" s="103"/>
      <c r="H49" s="103"/>
      <c r="I49" s="105" t="str">
        <f t="shared" si="9"/>
        <v/>
      </c>
      <c r="J49" s="148"/>
      <c r="K49" s="103"/>
      <c r="L49" s="143"/>
      <c r="M49" s="97" t="str">
        <f t="shared" si="6"/>
        <v/>
      </c>
      <c r="N49" s="303" t="str" cm="1">
        <f t="array" ref="N49">IF(K49="","",IF(F49="Distance",_xlfn.XLOOKUP(I49&amp;K49,'Emission Factors'!$M$196:$M$352&amp;'Emission Factors'!$U$196:$U$352,'Emission Factors'!$U$196:$U$352),IF(F49="Fuel Use",_xlfn.XLOOKUP(I49,'Emission Factors'!$M$196:$M$352,'Emission Factors'!$U$196:$U$352))))</f>
        <v/>
      </c>
      <c r="O49" s="305" t="str">
        <f>IF(F49="Distance",1,IF(K49="","",IF(OR($K49="Litre",$K49="Tonne"),_xlfn.XLOOKUP(H49&amp;N49&amp;M49,Conversions!$E$20:$E$104,Conversions!$F$20:$F$104),INDEX(Conversions!$C$4:$I$10,MATCH('V3 - Downstream Transport'!$M49,Conversions!$B$4:$B$10,0),MATCH('V3 - Downstream Transport'!$N49,Conversions!$C$3:$I$3,0)))))</f>
        <v/>
      </c>
      <c r="P49" s="309" t="str" cm="1">
        <f t="array" ref="P49">IF(F49="Distance",_xlfn.XLOOKUP(I49&amp;K49,'Emission Factors'!$M:$M&amp;'Emission Factors'!$U:$U,'Emission Factors'!$T:$T),IF(K49="","",_xlfn.XLOOKUP(I49,'Emission Factors'!$M$196:$M$352,'Emission Factors'!$T$196:$T$352)*O49))</f>
        <v/>
      </c>
      <c r="Q49" s="305" t="str">
        <f t="shared" si="7"/>
        <v/>
      </c>
      <c r="R49" s="144" t="str">
        <f t="shared" si="13"/>
        <v/>
      </c>
      <c r="S49" s="303" t="str">
        <f>IF(K49="","",_xlfn.XLOOKUP(I49,'Emission Factors'!$M:$M,'Emission Factors'!$W:$W))</f>
        <v/>
      </c>
      <c r="T49" s="146"/>
      <c r="U49" s="67"/>
      <c r="V49" s="303" t="str">
        <f t="shared" si="10"/>
        <v/>
      </c>
      <c r="W49" s="303" t="str" cm="1">
        <f t="array" ref="W49">IF(K49="","",IF(F49="Distance",_xlfn.XLOOKUP(I49&amp;K49,'Emission Factors'!$M$432:$M$787&amp;'Emission Factors'!$U$432:$U$787,'Emission Factors'!$U$432:$U$787),IF(F49="Fuel Use",_xlfn.XLOOKUP(I49,'Emission Factors'!$M$432:$M$787,'Emission Factors'!$U$432:$U$787))))</f>
        <v/>
      </c>
      <c r="X49" s="332" t="str">
        <f>IF(F49="Distance",1,IF(K49="","",IF(OR($K49="Litre",$K49="Tonne"),_xlfn.XLOOKUP(H49&amp;N49&amp;M49,Conversions!$E$20:$E$104,Conversions!$F$20:$F$104),INDEX(Conversions!$C$4:$I$10,MATCH('V3 - Downstream Transport'!$M49,Conversions!$B$4:$B$10,0),MATCH('V3 - Downstream Transport'!$N49,Conversions!$C$3:$I$3,0)))))</f>
        <v/>
      </c>
      <c r="Y49" s="309" t="str">
        <f>IF(K49="","",_xlfn.XLOOKUP(I49,'Emission Factors'!$M$432:$M$787,'Emission Factors'!$S$432:$S$787)*X49)</f>
        <v/>
      </c>
      <c r="Z49" s="305" t="str">
        <f t="shared" si="11"/>
        <v/>
      </c>
      <c r="AA49" s="129" t="str">
        <f t="shared" si="12"/>
        <v/>
      </c>
      <c r="AB49" s="303" t="str">
        <f>IF(K49="","",_xlfn.XLOOKUP(I49,'Emission Factors'!$M$432:$M$787,'Emission Factors'!$W$432:$W$787))</f>
        <v/>
      </c>
      <c r="AC49" s="67"/>
      <c r="AD49" s="151"/>
    </row>
    <row r="50" spans="2:30">
      <c r="B50" s="166"/>
      <c r="C50" s="173"/>
      <c r="D50" s="103"/>
      <c r="E50" s="146"/>
      <c r="F50" s="103"/>
      <c r="G50" s="103"/>
      <c r="H50" s="103"/>
      <c r="I50" s="105" t="str">
        <f t="shared" si="9"/>
        <v/>
      </c>
      <c r="J50" s="148"/>
      <c r="K50" s="103"/>
      <c r="L50" s="143"/>
      <c r="M50" s="97" t="str">
        <f t="shared" si="6"/>
        <v/>
      </c>
      <c r="N50" s="303" t="str" cm="1">
        <f t="array" ref="N50">IF(K50="","",IF(F50="Distance",_xlfn.XLOOKUP(I50&amp;K50,'Emission Factors'!$M$196:$M$352&amp;'Emission Factors'!$U$196:$U$352,'Emission Factors'!$U$196:$U$352),IF(F50="Fuel Use",_xlfn.XLOOKUP(I50,'Emission Factors'!$M$196:$M$352,'Emission Factors'!$U$196:$U$352))))</f>
        <v/>
      </c>
      <c r="O50" s="305" t="str">
        <f>IF(F50="Distance",1,IF(K50="","",IF(OR($K50="Litre",$K50="Tonne"),_xlfn.XLOOKUP(H50&amp;N50&amp;M50,Conversions!$E$20:$E$104,Conversions!$F$20:$F$104),INDEX(Conversions!$C$4:$I$10,MATCH('V3 - Downstream Transport'!$M50,Conversions!$B$4:$B$10,0),MATCH('V3 - Downstream Transport'!$N50,Conversions!$C$3:$I$3,0)))))</f>
        <v/>
      </c>
      <c r="P50" s="309" t="str" cm="1">
        <f t="array" ref="P50">IF(F50="Distance",_xlfn.XLOOKUP(I50&amp;K50,'Emission Factors'!$M:$M&amp;'Emission Factors'!$U:$U,'Emission Factors'!$T:$T),IF(K50="","",_xlfn.XLOOKUP(I50,'Emission Factors'!$M$196:$M$352,'Emission Factors'!$T$196:$T$352)*O50))</f>
        <v/>
      </c>
      <c r="Q50" s="305" t="str">
        <f t="shared" si="7"/>
        <v/>
      </c>
      <c r="R50" s="144" t="str">
        <f t="shared" si="13"/>
        <v/>
      </c>
      <c r="S50" s="303" t="str">
        <f>IF(K50="","",_xlfn.XLOOKUP(I50,'Emission Factors'!$M:$M,'Emission Factors'!$W:$W))</f>
        <v/>
      </c>
      <c r="T50" s="146"/>
      <c r="U50" s="67"/>
      <c r="V50" s="303" t="str">
        <f t="shared" si="10"/>
        <v/>
      </c>
      <c r="W50" s="303" t="str" cm="1">
        <f t="array" ref="W50">IF(K50="","",IF(F50="Distance",_xlfn.XLOOKUP(I50&amp;K50,'Emission Factors'!$M$432:$M$787&amp;'Emission Factors'!$U$432:$U$787,'Emission Factors'!$U$432:$U$787),IF(F50="Fuel Use",_xlfn.XLOOKUP(I50,'Emission Factors'!$M$432:$M$787,'Emission Factors'!$U$432:$U$787))))</f>
        <v/>
      </c>
      <c r="X50" s="332" t="str">
        <f>IF(F50="Distance",1,IF(K50="","",IF(OR($K50="Litre",$K50="Tonne"),_xlfn.XLOOKUP(H50&amp;N50&amp;M50,Conversions!$E$20:$E$104,Conversions!$F$20:$F$104),INDEX(Conversions!$C$4:$I$10,MATCH('V3 - Downstream Transport'!$M50,Conversions!$B$4:$B$10,0),MATCH('V3 - Downstream Transport'!$N50,Conversions!$C$3:$I$3,0)))))</f>
        <v/>
      </c>
      <c r="Y50" s="309" t="str">
        <f>IF(K50="","",_xlfn.XLOOKUP(I50,'Emission Factors'!$M$432:$M$787,'Emission Factors'!$S$432:$S$787)*X50)</f>
        <v/>
      </c>
      <c r="Z50" s="305" t="str">
        <f t="shared" si="11"/>
        <v/>
      </c>
      <c r="AA50" s="129" t="str">
        <f t="shared" si="12"/>
        <v/>
      </c>
      <c r="AB50" s="303" t="str">
        <f>IF(K50="","",_xlfn.XLOOKUP(I50,'Emission Factors'!$M$432:$M$787,'Emission Factors'!$W$432:$W$787))</f>
        <v/>
      </c>
      <c r="AC50" s="67"/>
      <c r="AD50" s="151"/>
    </row>
    <row r="51" spans="2:30">
      <c r="B51" s="166"/>
      <c r="C51" s="173"/>
      <c r="D51" s="103"/>
      <c r="E51" s="146"/>
      <c r="F51" s="103"/>
      <c r="G51" s="103"/>
      <c r="H51" s="103"/>
      <c r="I51" s="105" t="str">
        <f t="shared" si="9"/>
        <v/>
      </c>
      <c r="J51" s="148"/>
      <c r="K51" s="103"/>
      <c r="L51" s="143"/>
      <c r="M51" s="97" t="str">
        <f t="shared" si="6"/>
        <v/>
      </c>
      <c r="N51" s="303" t="str" cm="1">
        <f t="array" ref="N51">IF(K51="","",IF(F51="Distance",_xlfn.XLOOKUP(I51&amp;K51,'Emission Factors'!$M$196:$M$352&amp;'Emission Factors'!$U$196:$U$352,'Emission Factors'!$U$196:$U$352),IF(F51="Fuel Use",_xlfn.XLOOKUP(I51,'Emission Factors'!$M$196:$M$352,'Emission Factors'!$U$196:$U$352))))</f>
        <v/>
      </c>
      <c r="O51" s="305" t="str">
        <f>IF(F51="Distance",1,IF(K51="","",IF(OR($K51="Litre",$K51="Tonne"),_xlfn.XLOOKUP(H51&amp;N51&amp;M51,Conversions!$E$20:$E$104,Conversions!$F$20:$F$104),INDEX(Conversions!$C$4:$I$10,MATCH('V3 - Downstream Transport'!$M51,Conversions!$B$4:$B$10,0),MATCH('V3 - Downstream Transport'!$N51,Conversions!$C$3:$I$3,0)))))</f>
        <v/>
      </c>
      <c r="P51" s="309" t="str" cm="1">
        <f t="array" ref="P51">IF(F51="Distance",_xlfn.XLOOKUP(I51&amp;K51,'Emission Factors'!$M:$M&amp;'Emission Factors'!$U:$U,'Emission Factors'!$T:$T),IF(K51="","",_xlfn.XLOOKUP(I51,'Emission Factors'!$M$196:$M$352,'Emission Factors'!$T$196:$T$352)*O51))</f>
        <v/>
      </c>
      <c r="Q51" s="305" t="str">
        <f t="shared" si="7"/>
        <v/>
      </c>
      <c r="R51" s="144" t="str">
        <f t="shared" si="13"/>
        <v/>
      </c>
      <c r="S51" s="303" t="str">
        <f>IF(K51="","",_xlfn.XLOOKUP(I51,'Emission Factors'!$M:$M,'Emission Factors'!$W:$W))</f>
        <v/>
      </c>
      <c r="T51" s="146"/>
      <c r="U51" s="67"/>
      <c r="V51" s="303" t="str">
        <f t="shared" si="10"/>
        <v/>
      </c>
      <c r="W51" s="303" t="str" cm="1">
        <f t="array" ref="W51">IF(K51="","",IF(F51="Distance",_xlfn.XLOOKUP(I51&amp;K51,'Emission Factors'!$M$432:$M$787&amp;'Emission Factors'!$U$432:$U$787,'Emission Factors'!$U$432:$U$787),IF(F51="Fuel Use",_xlfn.XLOOKUP(I51,'Emission Factors'!$M$432:$M$787,'Emission Factors'!$U$432:$U$787))))</f>
        <v/>
      </c>
      <c r="X51" s="332" t="str">
        <f>IF(F51="Distance",1,IF(K51="","",IF(OR($K51="Litre",$K51="Tonne"),_xlfn.XLOOKUP(H51&amp;N51&amp;M51,Conversions!$E$20:$E$104,Conversions!$F$20:$F$104),INDEX(Conversions!$C$4:$I$10,MATCH('V3 - Downstream Transport'!$M51,Conversions!$B$4:$B$10,0),MATCH('V3 - Downstream Transport'!$N51,Conversions!$C$3:$I$3,0)))))</f>
        <v/>
      </c>
      <c r="Y51" s="309" t="str">
        <f>IF(K51="","",_xlfn.XLOOKUP(I51,'Emission Factors'!$M$432:$M$787,'Emission Factors'!$S$432:$S$787)*X51)</f>
        <v/>
      </c>
      <c r="Z51" s="305" t="str">
        <f t="shared" si="11"/>
        <v/>
      </c>
      <c r="AA51" s="129" t="str">
        <f t="shared" si="12"/>
        <v/>
      </c>
      <c r="AB51" s="303" t="str">
        <f>IF(K51="","",_xlfn.XLOOKUP(I51,'Emission Factors'!$M$432:$M$787,'Emission Factors'!$W$432:$W$787))</f>
        <v/>
      </c>
      <c r="AC51" s="67"/>
      <c r="AD51" s="151"/>
    </row>
    <row r="52" spans="2:30">
      <c r="B52" s="166"/>
      <c r="C52" s="173"/>
      <c r="D52" s="103"/>
      <c r="E52" s="146"/>
      <c r="F52" s="103"/>
      <c r="G52" s="103"/>
      <c r="H52" s="103"/>
      <c r="I52" s="105" t="str">
        <f t="shared" si="9"/>
        <v/>
      </c>
      <c r="J52" s="148"/>
      <c r="K52" s="103"/>
      <c r="L52" s="143"/>
      <c r="M52" s="97" t="str">
        <f t="shared" si="6"/>
        <v/>
      </c>
      <c r="N52" s="303" t="str" cm="1">
        <f t="array" ref="N52">IF(K52="","",IF(F52="Distance",_xlfn.XLOOKUP(I52&amp;K52,'Emission Factors'!$M$196:$M$352&amp;'Emission Factors'!$U$196:$U$352,'Emission Factors'!$U$196:$U$352),IF(F52="Fuel Use",_xlfn.XLOOKUP(I52,'Emission Factors'!$M$196:$M$352,'Emission Factors'!$U$196:$U$352))))</f>
        <v/>
      </c>
      <c r="O52" s="305" t="str">
        <f>IF(F52="Distance",1,IF(K52="","",IF(OR($K52="Litre",$K52="Tonne"),_xlfn.XLOOKUP(H52&amp;N52&amp;M52,Conversions!$E$20:$E$104,Conversions!$F$20:$F$104),INDEX(Conversions!$C$4:$I$10,MATCH('V3 - Downstream Transport'!$M52,Conversions!$B$4:$B$10,0),MATCH('V3 - Downstream Transport'!$N52,Conversions!$C$3:$I$3,0)))))</f>
        <v/>
      </c>
      <c r="P52" s="309" t="str" cm="1">
        <f t="array" ref="P52">IF(F52="Distance",_xlfn.XLOOKUP(I52&amp;K52,'Emission Factors'!$M:$M&amp;'Emission Factors'!$U:$U,'Emission Factors'!$T:$T),IF(K52="","",_xlfn.XLOOKUP(I52,'Emission Factors'!$M$196:$M$352,'Emission Factors'!$T$196:$T$352)*O52))</f>
        <v/>
      </c>
      <c r="Q52" s="305" t="str">
        <f t="shared" si="7"/>
        <v/>
      </c>
      <c r="R52" s="144" t="str">
        <f t="shared" si="13"/>
        <v/>
      </c>
      <c r="S52" s="303" t="str">
        <f>IF(K52="","",_xlfn.XLOOKUP(I52,'Emission Factors'!$M:$M,'Emission Factors'!$W:$W))</f>
        <v/>
      </c>
      <c r="T52" s="146"/>
      <c r="U52" s="67"/>
      <c r="V52" s="303" t="str">
        <f t="shared" si="10"/>
        <v/>
      </c>
      <c r="W52" s="303" t="str" cm="1">
        <f t="array" ref="W52">IF(K52="","",IF(F52="Distance",_xlfn.XLOOKUP(I52&amp;K52,'Emission Factors'!$M$432:$M$787&amp;'Emission Factors'!$U$432:$U$787,'Emission Factors'!$U$432:$U$787),IF(F52="Fuel Use",_xlfn.XLOOKUP(I52,'Emission Factors'!$M$432:$M$787,'Emission Factors'!$U$432:$U$787))))</f>
        <v/>
      </c>
      <c r="X52" s="332" t="str">
        <f>IF(F52="Distance",1,IF(K52="","",IF(OR($K52="Litre",$K52="Tonne"),_xlfn.XLOOKUP(H52&amp;N52&amp;M52,Conversions!$E$20:$E$104,Conversions!$F$20:$F$104),INDEX(Conversions!$C$4:$I$10,MATCH('V3 - Downstream Transport'!$M52,Conversions!$B$4:$B$10,0),MATCH('V3 - Downstream Transport'!$N52,Conversions!$C$3:$I$3,0)))))</f>
        <v/>
      </c>
      <c r="Y52" s="309" t="str">
        <f>IF(K52="","",_xlfn.XLOOKUP(I52,'Emission Factors'!$M$432:$M$787,'Emission Factors'!$S$432:$S$787)*X52)</f>
        <v/>
      </c>
      <c r="Z52" s="305" t="str">
        <f t="shared" si="11"/>
        <v/>
      </c>
      <c r="AA52" s="129" t="str">
        <f t="shared" si="12"/>
        <v/>
      </c>
      <c r="AB52" s="303" t="str">
        <f>IF(K52="","",_xlfn.XLOOKUP(I52,'Emission Factors'!$M$432:$M$787,'Emission Factors'!$W$432:$W$787))</f>
        <v/>
      </c>
      <c r="AC52" s="67"/>
      <c r="AD52" s="151"/>
    </row>
    <row r="53" spans="2:30">
      <c r="B53" s="166"/>
      <c r="C53" s="173"/>
      <c r="D53" s="103"/>
      <c r="E53" s="146"/>
      <c r="F53" s="103"/>
      <c r="G53" s="103"/>
      <c r="H53" s="103"/>
      <c r="I53" s="105" t="str">
        <f t="shared" si="9"/>
        <v/>
      </c>
      <c r="J53" s="148"/>
      <c r="K53" s="103"/>
      <c r="L53" s="143"/>
      <c r="M53" s="97" t="str">
        <f t="shared" si="6"/>
        <v/>
      </c>
      <c r="N53" s="303" t="str" cm="1">
        <f t="array" ref="N53">IF(K53="","",IF(F53="Distance",_xlfn.XLOOKUP(I53&amp;K53,'Emission Factors'!$M$196:$M$352&amp;'Emission Factors'!$U$196:$U$352,'Emission Factors'!$U$196:$U$352),IF(F53="Fuel Use",_xlfn.XLOOKUP(I53,'Emission Factors'!$M$196:$M$352,'Emission Factors'!$U$196:$U$352))))</f>
        <v/>
      </c>
      <c r="O53" s="305" t="str">
        <f>IF(F53="Distance",1,IF(K53="","",IF(OR($K53="Litre",$K53="Tonne"),_xlfn.XLOOKUP(H53&amp;N53&amp;M53,Conversions!$E$20:$E$104,Conversions!$F$20:$F$104),INDEX(Conversions!$C$4:$I$10,MATCH('V3 - Downstream Transport'!$M53,Conversions!$B$4:$B$10,0),MATCH('V3 - Downstream Transport'!$N53,Conversions!$C$3:$I$3,0)))))</f>
        <v/>
      </c>
      <c r="P53" s="309" t="str" cm="1">
        <f t="array" ref="P53">IF(F53="Distance",_xlfn.XLOOKUP(I53&amp;K53,'Emission Factors'!$M:$M&amp;'Emission Factors'!$U:$U,'Emission Factors'!$T:$T),IF(K53="","",_xlfn.XLOOKUP(I53,'Emission Factors'!$M$196:$M$352,'Emission Factors'!$T$196:$T$352)*O53))</f>
        <v/>
      </c>
      <c r="Q53" s="305" t="str">
        <f t="shared" si="7"/>
        <v/>
      </c>
      <c r="R53" s="144" t="str">
        <f t="shared" si="13"/>
        <v/>
      </c>
      <c r="S53" s="303" t="str">
        <f>IF(K53="","",_xlfn.XLOOKUP(I53,'Emission Factors'!$M:$M,'Emission Factors'!$W:$W))</f>
        <v/>
      </c>
      <c r="T53" s="146"/>
      <c r="U53" s="67"/>
      <c r="V53" s="303" t="str">
        <f t="shared" si="10"/>
        <v/>
      </c>
      <c r="W53" s="303" t="str" cm="1">
        <f t="array" ref="W53">IF(K53="","",IF(F53="Distance",_xlfn.XLOOKUP(I53&amp;K53,'Emission Factors'!$M$432:$M$787&amp;'Emission Factors'!$U$432:$U$787,'Emission Factors'!$U$432:$U$787),IF(F53="Fuel Use",_xlfn.XLOOKUP(I53,'Emission Factors'!$M$432:$M$787,'Emission Factors'!$U$432:$U$787))))</f>
        <v/>
      </c>
      <c r="X53" s="332" t="str">
        <f>IF(F53="Distance",1,IF(K53="","",IF(OR($K53="Litre",$K53="Tonne"),_xlfn.XLOOKUP(H53&amp;N53&amp;M53,Conversions!$E$20:$E$104,Conversions!$F$20:$F$104),INDEX(Conversions!$C$4:$I$10,MATCH('V3 - Downstream Transport'!$M53,Conversions!$B$4:$B$10,0),MATCH('V3 - Downstream Transport'!$N53,Conversions!$C$3:$I$3,0)))))</f>
        <v/>
      </c>
      <c r="Y53" s="309" t="str">
        <f>IF(K53="","",_xlfn.XLOOKUP(I53,'Emission Factors'!$M$432:$M$787,'Emission Factors'!$S$432:$S$787)*X53)</f>
        <v/>
      </c>
      <c r="Z53" s="305" t="str">
        <f t="shared" si="11"/>
        <v/>
      </c>
      <c r="AA53" s="129" t="str">
        <f t="shared" si="12"/>
        <v/>
      </c>
      <c r="AB53" s="303" t="str">
        <f>IF(K53="","",_xlfn.XLOOKUP(I53,'Emission Factors'!$M$432:$M$787,'Emission Factors'!$W$432:$W$787))</f>
        <v/>
      </c>
      <c r="AC53" s="67"/>
      <c r="AD53" s="151"/>
    </row>
    <row r="54" spans="2:30">
      <c r="B54" s="166"/>
      <c r="C54" s="173"/>
      <c r="D54" s="103"/>
      <c r="E54" s="146"/>
      <c r="F54" s="103"/>
      <c r="G54" s="103"/>
      <c r="H54" s="103"/>
      <c r="I54" s="105" t="str">
        <f t="shared" si="9"/>
        <v/>
      </c>
      <c r="J54" s="148"/>
      <c r="K54" s="103"/>
      <c r="L54" s="143"/>
      <c r="M54" s="97" t="str">
        <f t="shared" si="6"/>
        <v/>
      </c>
      <c r="N54" s="303" t="str" cm="1">
        <f t="array" ref="N54">IF(K54="","",IF(F54="Distance",_xlfn.XLOOKUP(I54&amp;K54,'Emission Factors'!$M$196:$M$352&amp;'Emission Factors'!$U$196:$U$352,'Emission Factors'!$U$196:$U$352),IF(F54="Fuel Use",_xlfn.XLOOKUP(I54,'Emission Factors'!$M$196:$M$352,'Emission Factors'!$U$196:$U$352))))</f>
        <v/>
      </c>
      <c r="O54" s="305" t="str">
        <f>IF(F54="Distance",1,IF(K54="","",IF(OR($K54="Litre",$K54="Tonne"),_xlfn.XLOOKUP(H54&amp;N54&amp;M54,Conversions!$E$20:$E$104,Conversions!$F$20:$F$104),INDEX(Conversions!$C$4:$I$10,MATCH('V3 - Downstream Transport'!$M54,Conversions!$B$4:$B$10,0),MATCH('V3 - Downstream Transport'!$N54,Conversions!$C$3:$I$3,0)))))</f>
        <v/>
      </c>
      <c r="P54" s="309" t="str" cm="1">
        <f t="array" ref="P54">IF(F54="Distance",_xlfn.XLOOKUP(I54&amp;K54,'Emission Factors'!$M:$M&amp;'Emission Factors'!$U:$U,'Emission Factors'!$T:$T),IF(K54="","",_xlfn.XLOOKUP(I54,'Emission Factors'!$M$196:$M$352,'Emission Factors'!$T$196:$T$352)*O54))</f>
        <v/>
      </c>
      <c r="Q54" s="305" t="str">
        <f t="shared" si="7"/>
        <v/>
      </c>
      <c r="R54" s="144" t="str">
        <f t="shared" si="13"/>
        <v/>
      </c>
      <c r="S54" s="303" t="str">
        <f>IF(K54="","",_xlfn.XLOOKUP(I54,'Emission Factors'!$M:$M,'Emission Factors'!$W:$W))</f>
        <v/>
      </c>
      <c r="T54" s="146"/>
      <c r="U54" s="67"/>
      <c r="V54" s="303" t="str">
        <f t="shared" si="10"/>
        <v/>
      </c>
      <c r="W54" s="303" t="str" cm="1">
        <f t="array" ref="W54">IF(K54="","",IF(F54="Distance",_xlfn.XLOOKUP(I54&amp;K54,'Emission Factors'!$M$432:$M$787&amp;'Emission Factors'!$U$432:$U$787,'Emission Factors'!$U$432:$U$787),IF(F54="Fuel Use",_xlfn.XLOOKUP(I54,'Emission Factors'!$M$432:$M$787,'Emission Factors'!$U$432:$U$787))))</f>
        <v/>
      </c>
      <c r="X54" s="332" t="str">
        <f>IF(F54="Distance",1,IF(K54="","",IF(OR($K54="Litre",$K54="Tonne"),_xlfn.XLOOKUP(H54&amp;N54&amp;M54,Conversions!$E$20:$E$104,Conversions!$F$20:$F$104),INDEX(Conversions!$C$4:$I$10,MATCH('V3 - Downstream Transport'!$M54,Conversions!$B$4:$B$10,0),MATCH('V3 - Downstream Transport'!$N54,Conversions!$C$3:$I$3,0)))))</f>
        <v/>
      </c>
      <c r="Y54" s="309" t="str">
        <f>IF(K54="","",_xlfn.XLOOKUP(I54,'Emission Factors'!$M$432:$M$787,'Emission Factors'!$S$432:$S$787)*X54)</f>
        <v/>
      </c>
      <c r="Z54" s="305" t="str">
        <f t="shared" si="11"/>
        <v/>
      </c>
      <c r="AA54" s="129" t="str">
        <f t="shared" si="12"/>
        <v/>
      </c>
      <c r="AB54" s="303" t="str">
        <f>IF(K54="","",_xlfn.XLOOKUP(I54,'Emission Factors'!$M$432:$M$787,'Emission Factors'!$W$432:$W$787))</f>
        <v/>
      </c>
      <c r="AC54" s="67"/>
      <c r="AD54" s="151"/>
    </row>
    <row r="55" spans="2:30">
      <c r="B55" s="166"/>
      <c r="C55" s="173"/>
      <c r="D55" s="103"/>
      <c r="E55" s="146"/>
      <c r="F55" s="103"/>
      <c r="G55" s="103"/>
      <c r="H55" s="103"/>
      <c r="I55" s="105" t="str">
        <f t="shared" si="9"/>
        <v/>
      </c>
      <c r="J55" s="148"/>
      <c r="K55" s="103"/>
      <c r="L55" s="143"/>
      <c r="M55" s="97" t="str">
        <f t="shared" si="6"/>
        <v/>
      </c>
      <c r="N55" s="303" t="str" cm="1">
        <f t="array" ref="N55">IF(K55="","",IF(F55="Distance",_xlfn.XLOOKUP(I55&amp;K55,'Emission Factors'!$M$196:$M$352&amp;'Emission Factors'!$U$196:$U$352,'Emission Factors'!$U$196:$U$352),IF(F55="Fuel Use",_xlfn.XLOOKUP(I55,'Emission Factors'!$M$196:$M$352,'Emission Factors'!$U$196:$U$352))))</f>
        <v/>
      </c>
      <c r="O55" s="305" t="str">
        <f>IF(F55="Distance",1,IF(K55="","",IF(OR($K55="Litre",$K55="Tonne"),_xlfn.XLOOKUP(H55&amp;N55&amp;M55,Conversions!$E$20:$E$104,Conversions!$F$20:$F$104),INDEX(Conversions!$C$4:$I$10,MATCH('V3 - Downstream Transport'!$M55,Conversions!$B$4:$B$10,0),MATCH('V3 - Downstream Transport'!$N55,Conversions!$C$3:$I$3,0)))))</f>
        <v/>
      </c>
      <c r="P55" s="309" t="str" cm="1">
        <f t="array" ref="P55">IF(F55="Distance",_xlfn.XLOOKUP(I55&amp;K55,'Emission Factors'!$M:$M&amp;'Emission Factors'!$U:$U,'Emission Factors'!$T:$T),IF(K55="","",_xlfn.XLOOKUP(I55,'Emission Factors'!$M$196:$M$352,'Emission Factors'!$T$196:$T$352)*O55))</f>
        <v/>
      </c>
      <c r="Q55" s="305" t="str">
        <f t="shared" si="7"/>
        <v/>
      </c>
      <c r="R55" s="144" t="str">
        <f t="shared" si="13"/>
        <v/>
      </c>
      <c r="S55" s="303" t="str">
        <f>IF(K55="","",_xlfn.XLOOKUP(I55,'Emission Factors'!$M:$M,'Emission Factors'!$W:$W))</f>
        <v/>
      </c>
      <c r="T55" s="146"/>
      <c r="U55" s="67"/>
      <c r="V55" s="303" t="str">
        <f t="shared" si="10"/>
        <v/>
      </c>
      <c r="W55" s="303" t="str" cm="1">
        <f t="array" ref="W55">IF(K55="","",IF(F55="Distance",_xlfn.XLOOKUP(I55&amp;K55,'Emission Factors'!$M$432:$M$787&amp;'Emission Factors'!$U$432:$U$787,'Emission Factors'!$U$432:$U$787),IF(F55="Fuel Use",_xlfn.XLOOKUP(I55,'Emission Factors'!$M$432:$M$787,'Emission Factors'!$U$432:$U$787))))</f>
        <v/>
      </c>
      <c r="X55" s="332" t="str">
        <f>IF(F55="Distance",1,IF(K55="","",IF(OR($K55="Litre",$K55="Tonne"),_xlfn.XLOOKUP(H55&amp;N55&amp;M55,Conversions!$E$20:$E$104,Conversions!$F$20:$F$104),INDEX(Conversions!$C$4:$I$10,MATCH('V3 - Downstream Transport'!$M55,Conversions!$B$4:$B$10,0),MATCH('V3 - Downstream Transport'!$N55,Conversions!$C$3:$I$3,0)))))</f>
        <v/>
      </c>
      <c r="Y55" s="309" t="str">
        <f>IF(K55="","",_xlfn.XLOOKUP(I55,'Emission Factors'!$M$432:$M$787,'Emission Factors'!$S$432:$S$787)*X55)</f>
        <v/>
      </c>
      <c r="Z55" s="305" t="str">
        <f t="shared" si="11"/>
        <v/>
      </c>
      <c r="AA55" s="129" t="str">
        <f t="shared" si="12"/>
        <v/>
      </c>
      <c r="AB55" s="303" t="str">
        <f>IF(K55="","",_xlfn.XLOOKUP(I55,'Emission Factors'!$M$432:$M$787,'Emission Factors'!$W$432:$W$787))</f>
        <v/>
      </c>
      <c r="AC55" s="67"/>
      <c r="AD55" s="151"/>
    </row>
    <row r="56" spans="2:30">
      <c r="B56" s="166"/>
      <c r="C56" s="173"/>
      <c r="D56" s="103"/>
      <c r="E56" s="146"/>
      <c r="F56" s="103"/>
      <c r="G56" s="103"/>
      <c r="H56" s="103"/>
      <c r="I56" s="105" t="str">
        <f t="shared" si="9"/>
        <v/>
      </c>
      <c r="J56" s="148"/>
      <c r="K56" s="103"/>
      <c r="L56" s="143"/>
      <c r="M56" s="97" t="str">
        <f t="shared" si="6"/>
        <v/>
      </c>
      <c r="N56" s="303" t="str" cm="1">
        <f t="array" ref="N56">IF(K56="","",IF(F56="Distance",_xlfn.XLOOKUP(I56&amp;K56,'Emission Factors'!$M$196:$M$352&amp;'Emission Factors'!$U$196:$U$352,'Emission Factors'!$U$196:$U$352),IF(F56="Fuel Use",_xlfn.XLOOKUP(I56,'Emission Factors'!$M$196:$M$352,'Emission Factors'!$U$196:$U$352))))</f>
        <v/>
      </c>
      <c r="O56" s="305" t="str">
        <f>IF(F56="Distance",1,IF(K56="","",IF(OR($K56="Litre",$K56="Tonne"),_xlfn.XLOOKUP(H56&amp;N56&amp;M56,Conversions!$E$20:$E$104,Conversions!$F$20:$F$104),INDEX(Conversions!$C$4:$I$10,MATCH('V3 - Downstream Transport'!$M56,Conversions!$B$4:$B$10,0),MATCH('V3 - Downstream Transport'!$N56,Conversions!$C$3:$I$3,0)))))</f>
        <v/>
      </c>
      <c r="P56" s="309" t="str" cm="1">
        <f t="array" ref="P56">IF(F56="Distance",_xlfn.XLOOKUP(I56&amp;K56,'Emission Factors'!$M:$M&amp;'Emission Factors'!$U:$U,'Emission Factors'!$T:$T),IF(K56="","",_xlfn.XLOOKUP(I56,'Emission Factors'!$M$196:$M$352,'Emission Factors'!$T$196:$T$352)*O56))</f>
        <v/>
      </c>
      <c r="Q56" s="305" t="str">
        <f t="shared" si="7"/>
        <v/>
      </c>
      <c r="R56" s="144" t="str">
        <f t="shared" si="13"/>
        <v/>
      </c>
      <c r="S56" s="303" t="str">
        <f>IF(K56="","",_xlfn.XLOOKUP(I56,'Emission Factors'!$M:$M,'Emission Factors'!$W:$W))</f>
        <v/>
      </c>
      <c r="T56" s="146"/>
      <c r="U56" s="67"/>
      <c r="V56" s="303" t="str">
        <f t="shared" si="10"/>
        <v/>
      </c>
      <c r="W56" s="303" t="str" cm="1">
        <f t="array" ref="W56">IF(K56="","",IF(F56="Distance",_xlfn.XLOOKUP(I56&amp;K56,'Emission Factors'!$M$432:$M$787&amp;'Emission Factors'!$U$432:$U$787,'Emission Factors'!$U$432:$U$787),IF(F56="Fuel Use",_xlfn.XLOOKUP(I56,'Emission Factors'!$M$432:$M$787,'Emission Factors'!$U$432:$U$787))))</f>
        <v/>
      </c>
      <c r="X56" s="332" t="str">
        <f>IF(F56="Distance",1,IF(K56="","",IF(OR($K56="Litre",$K56="Tonne"),_xlfn.XLOOKUP(H56&amp;N56&amp;M56,Conversions!$E$20:$E$104,Conversions!$F$20:$F$104),INDEX(Conversions!$C$4:$I$10,MATCH('V3 - Downstream Transport'!$M56,Conversions!$B$4:$B$10,0),MATCH('V3 - Downstream Transport'!$N56,Conversions!$C$3:$I$3,0)))))</f>
        <v/>
      </c>
      <c r="Y56" s="309" t="str">
        <f>IF(K56="","",_xlfn.XLOOKUP(I56,'Emission Factors'!$M$432:$M$787,'Emission Factors'!$S$432:$S$787)*X56)</f>
        <v/>
      </c>
      <c r="Z56" s="305" t="str">
        <f t="shared" si="11"/>
        <v/>
      </c>
      <c r="AA56" s="129" t="str">
        <f t="shared" si="12"/>
        <v/>
      </c>
      <c r="AB56" s="303" t="str">
        <f>IF(K56="","",_xlfn.XLOOKUP(I56,'Emission Factors'!$M$432:$M$787,'Emission Factors'!$W$432:$W$787))</f>
        <v/>
      </c>
      <c r="AC56" s="67"/>
      <c r="AD56" s="151"/>
    </row>
    <row r="57" spans="2:30">
      <c r="B57" s="166"/>
      <c r="C57" s="173"/>
      <c r="D57" s="103"/>
      <c r="E57" s="146"/>
      <c r="F57" s="103"/>
      <c r="G57" s="103"/>
      <c r="H57" s="103"/>
      <c r="I57" s="105" t="str">
        <f t="shared" si="9"/>
        <v/>
      </c>
      <c r="J57" s="148"/>
      <c r="K57" s="103"/>
      <c r="L57" s="143"/>
      <c r="M57" s="97" t="str">
        <f t="shared" si="6"/>
        <v/>
      </c>
      <c r="N57" s="303" t="str" cm="1">
        <f t="array" ref="N57">IF(K57="","",IF(F57="Distance",_xlfn.XLOOKUP(I57&amp;K57,'Emission Factors'!$M$196:$M$352&amp;'Emission Factors'!$U$196:$U$352,'Emission Factors'!$U$196:$U$352),IF(F57="Fuel Use",_xlfn.XLOOKUP(I57,'Emission Factors'!$M$196:$M$352,'Emission Factors'!$U$196:$U$352))))</f>
        <v/>
      </c>
      <c r="O57" s="305" t="str">
        <f>IF(F57="Distance",1,IF(K57="","",IF(OR($K57="Litre",$K57="Tonne"),_xlfn.XLOOKUP(H57&amp;N57&amp;M57,Conversions!$E$20:$E$104,Conversions!$F$20:$F$104),INDEX(Conversions!$C$4:$I$10,MATCH('V3 - Downstream Transport'!$M57,Conversions!$B$4:$B$10,0),MATCH('V3 - Downstream Transport'!$N57,Conversions!$C$3:$I$3,0)))))</f>
        <v/>
      </c>
      <c r="P57" s="309" t="str" cm="1">
        <f t="array" ref="P57">IF(F57="Distance",_xlfn.XLOOKUP(I57&amp;K57,'Emission Factors'!$M:$M&amp;'Emission Factors'!$U:$U,'Emission Factors'!$T:$T),IF(K57="","",_xlfn.XLOOKUP(I57,'Emission Factors'!$M$196:$M$352,'Emission Factors'!$T$196:$T$352)*O57))</f>
        <v/>
      </c>
      <c r="Q57" s="305" t="str">
        <f t="shared" si="7"/>
        <v/>
      </c>
      <c r="R57" s="144" t="str">
        <f t="shared" si="13"/>
        <v/>
      </c>
      <c r="S57" s="303" t="str">
        <f>IF(K57="","",_xlfn.XLOOKUP(I57,'Emission Factors'!$M:$M,'Emission Factors'!$W:$W))</f>
        <v/>
      </c>
      <c r="T57" s="146"/>
      <c r="U57" s="67"/>
      <c r="V57" s="303" t="str">
        <f t="shared" si="10"/>
        <v/>
      </c>
      <c r="W57" s="303" t="str" cm="1">
        <f t="array" ref="W57">IF(K57="","",IF(F57="Distance",_xlfn.XLOOKUP(I57&amp;K57,'Emission Factors'!$M$432:$M$787&amp;'Emission Factors'!$U$432:$U$787,'Emission Factors'!$U$432:$U$787),IF(F57="Fuel Use",_xlfn.XLOOKUP(I57,'Emission Factors'!$M$432:$M$787,'Emission Factors'!$U$432:$U$787))))</f>
        <v/>
      </c>
      <c r="X57" s="332" t="str">
        <f>IF(F57="Distance",1,IF(K57="","",IF(OR($K57="Litre",$K57="Tonne"),_xlfn.XLOOKUP(H57&amp;N57&amp;M57,Conversions!$E$20:$E$104,Conversions!$F$20:$F$104),INDEX(Conversions!$C$4:$I$10,MATCH('V3 - Downstream Transport'!$M57,Conversions!$B$4:$B$10,0),MATCH('V3 - Downstream Transport'!$N57,Conversions!$C$3:$I$3,0)))))</f>
        <v/>
      </c>
      <c r="Y57" s="309" t="str">
        <f>IF(K57="","",_xlfn.XLOOKUP(I57,'Emission Factors'!$M$432:$M$787,'Emission Factors'!$S$432:$S$787)*X57)</f>
        <v/>
      </c>
      <c r="Z57" s="305" t="str">
        <f t="shared" si="11"/>
        <v/>
      </c>
      <c r="AA57" s="129" t="str">
        <f t="shared" si="12"/>
        <v/>
      </c>
      <c r="AB57" s="303" t="str">
        <f>IF(K57="","",_xlfn.XLOOKUP(I57,'Emission Factors'!$M$432:$M$787,'Emission Factors'!$W$432:$W$787))</f>
        <v/>
      </c>
      <c r="AC57" s="67"/>
      <c r="AD57" s="151"/>
    </row>
    <row r="58" spans="2:30">
      <c r="B58" s="166"/>
      <c r="C58" s="173"/>
      <c r="D58" s="103"/>
      <c r="E58" s="146"/>
      <c r="F58" s="103"/>
      <c r="G58" s="103"/>
      <c r="H58" s="103"/>
      <c r="I58" s="105" t="str">
        <f t="shared" si="9"/>
        <v/>
      </c>
      <c r="J58" s="148"/>
      <c r="K58" s="103"/>
      <c r="L58" s="143"/>
      <c r="M58" s="97" t="str">
        <f t="shared" si="6"/>
        <v/>
      </c>
      <c r="N58" s="303" t="str" cm="1">
        <f t="array" ref="N58">IF(K58="","",IF(F58="Distance",_xlfn.XLOOKUP(I58&amp;K58,'Emission Factors'!$M$196:$M$352&amp;'Emission Factors'!$U$196:$U$352,'Emission Factors'!$U$196:$U$352),IF(F58="Fuel Use",_xlfn.XLOOKUP(I58,'Emission Factors'!$M$196:$M$352,'Emission Factors'!$U$196:$U$352))))</f>
        <v/>
      </c>
      <c r="O58" s="305" t="str">
        <f>IF(F58="Distance",1,IF(K58="","",IF(OR($K58="Litre",$K58="Tonne"),_xlfn.XLOOKUP(H58&amp;N58&amp;M58,Conversions!$E$20:$E$104,Conversions!$F$20:$F$104),INDEX(Conversions!$C$4:$I$10,MATCH('V3 - Downstream Transport'!$M58,Conversions!$B$4:$B$10,0),MATCH('V3 - Downstream Transport'!$N58,Conversions!$C$3:$I$3,0)))))</f>
        <v/>
      </c>
      <c r="P58" s="309" t="str" cm="1">
        <f t="array" ref="P58">IF(F58="Distance",_xlfn.XLOOKUP(I58&amp;K58,'Emission Factors'!$M:$M&amp;'Emission Factors'!$U:$U,'Emission Factors'!$T:$T),IF(K58="","",_xlfn.XLOOKUP(I58,'Emission Factors'!$M$196:$M$352,'Emission Factors'!$T$196:$T$352)*O58))</f>
        <v/>
      </c>
      <c r="Q58" s="305" t="str">
        <f t="shared" si="7"/>
        <v/>
      </c>
      <c r="R58" s="144" t="str">
        <f t="shared" si="13"/>
        <v/>
      </c>
      <c r="S58" s="303" t="str">
        <f>IF(K58="","",_xlfn.XLOOKUP(I58,'Emission Factors'!$M:$M,'Emission Factors'!$W:$W))</f>
        <v/>
      </c>
      <c r="T58" s="146"/>
      <c r="U58" s="67"/>
      <c r="V58" s="303" t="str">
        <f t="shared" si="10"/>
        <v/>
      </c>
      <c r="W58" s="303" t="str" cm="1">
        <f t="array" ref="W58">IF(K58="","",IF(F58="Distance",_xlfn.XLOOKUP(I58&amp;K58,'Emission Factors'!$M$432:$M$787&amp;'Emission Factors'!$U$432:$U$787,'Emission Factors'!$U$432:$U$787),IF(F58="Fuel Use",_xlfn.XLOOKUP(I58,'Emission Factors'!$M$432:$M$787,'Emission Factors'!$U$432:$U$787))))</f>
        <v/>
      </c>
      <c r="X58" s="332" t="str">
        <f>IF(F58="Distance",1,IF(K58="","",IF(OR($K58="Litre",$K58="Tonne"),_xlfn.XLOOKUP(H58&amp;N58&amp;M58,Conversions!$E$20:$E$104,Conversions!$F$20:$F$104),INDEX(Conversions!$C$4:$I$10,MATCH('V3 - Downstream Transport'!$M58,Conversions!$B$4:$B$10,0),MATCH('V3 - Downstream Transport'!$N58,Conversions!$C$3:$I$3,0)))))</f>
        <v/>
      </c>
      <c r="Y58" s="309" t="str">
        <f>IF(K58="","",_xlfn.XLOOKUP(I58,'Emission Factors'!$M$432:$M$787,'Emission Factors'!$S$432:$S$787)*X58)</f>
        <v/>
      </c>
      <c r="Z58" s="305" t="str">
        <f t="shared" si="11"/>
        <v/>
      </c>
      <c r="AA58" s="129" t="str">
        <f t="shared" si="12"/>
        <v/>
      </c>
      <c r="AB58" s="303" t="str">
        <f>IF(K58="","",_xlfn.XLOOKUP(I58,'Emission Factors'!$M$432:$M$787,'Emission Factors'!$W$432:$W$787))</f>
        <v/>
      </c>
      <c r="AC58" s="67"/>
      <c r="AD58" s="151"/>
    </row>
    <row r="59" spans="2:30">
      <c r="B59" s="166"/>
      <c r="C59" s="173"/>
      <c r="D59" s="103"/>
      <c r="E59" s="146"/>
      <c r="F59" s="103"/>
      <c r="G59" s="103"/>
      <c r="H59" s="103"/>
      <c r="I59" s="105" t="str">
        <f t="shared" si="9"/>
        <v/>
      </c>
      <c r="J59" s="148"/>
      <c r="K59" s="103"/>
      <c r="L59" s="143"/>
      <c r="M59" s="97" t="str">
        <f t="shared" si="6"/>
        <v/>
      </c>
      <c r="N59" s="303" t="str" cm="1">
        <f t="array" ref="N59">IF(K59="","",IF(F59="Distance",_xlfn.XLOOKUP(I59&amp;K59,'Emission Factors'!$M$196:$M$352&amp;'Emission Factors'!$U$196:$U$352,'Emission Factors'!$U$196:$U$352),IF(F59="Fuel Use",_xlfn.XLOOKUP(I59,'Emission Factors'!$M$196:$M$352,'Emission Factors'!$U$196:$U$352))))</f>
        <v/>
      </c>
      <c r="O59" s="305" t="str">
        <f>IF(F59="Distance",1,IF(K59="","",IF(OR($K59="Litre",$K59="Tonne"),_xlfn.XLOOKUP(H59&amp;N59&amp;M59,Conversions!$E$20:$E$104,Conversions!$F$20:$F$104),INDEX(Conversions!$C$4:$I$10,MATCH('V3 - Downstream Transport'!$M59,Conversions!$B$4:$B$10,0),MATCH('V3 - Downstream Transport'!$N59,Conversions!$C$3:$I$3,0)))))</f>
        <v/>
      </c>
      <c r="P59" s="309" t="str" cm="1">
        <f t="array" ref="P59">IF(F59="Distance",_xlfn.XLOOKUP(I59&amp;K59,'Emission Factors'!$M:$M&amp;'Emission Factors'!$U:$U,'Emission Factors'!$T:$T),IF(K59="","",_xlfn.XLOOKUP(I59,'Emission Factors'!$M$196:$M$352,'Emission Factors'!$T$196:$T$352)*O59))</f>
        <v/>
      </c>
      <c r="Q59" s="305" t="str">
        <f t="shared" si="7"/>
        <v/>
      </c>
      <c r="R59" s="144" t="str">
        <f t="shared" si="13"/>
        <v/>
      </c>
      <c r="S59" s="303" t="str">
        <f>IF(K59="","",_xlfn.XLOOKUP(I59,'Emission Factors'!$M:$M,'Emission Factors'!$W:$W))</f>
        <v/>
      </c>
      <c r="T59" s="146"/>
      <c r="U59" s="67"/>
      <c r="V59" s="303" t="str">
        <f t="shared" si="10"/>
        <v/>
      </c>
      <c r="W59" s="303" t="str" cm="1">
        <f t="array" ref="W59">IF(K59="","",IF(F59="Distance",_xlfn.XLOOKUP(I59&amp;K59,'Emission Factors'!$M$432:$M$787&amp;'Emission Factors'!$U$432:$U$787,'Emission Factors'!$U$432:$U$787),IF(F59="Fuel Use",_xlfn.XLOOKUP(I59,'Emission Factors'!$M$432:$M$787,'Emission Factors'!$U$432:$U$787))))</f>
        <v/>
      </c>
      <c r="X59" s="332" t="str">
        <f>IF(F59="Distance",1,IF(K59="","",IF(OR($K59="Litre",$K59="Tonne"),_xlfn.XLOOKUP(H59&amp;N59&amp;M59,Conversions!$E$20:$E$104,Conversions!$F$20:$F$104),INDEX(Conversions!$C$4:$I$10,MATCH('V3 - Downstream Transport'!$M59,Conversions!$B$4:$B$10,0),MATCH('V3 - Downstream Transport'!$N59,Conversions!$C$3:$I$3,0)))))</f>
        <v/>
      </c>
      <c r="Y59" s="309" t="str">
        <f>IF(K59="","",_xlfn.XLOOKUP(I59,'Emission Factors'!$M$432:$M$787,'Emission Factors'!$S$432:$S$787)*X59)</f>
        <v/>
      </c>
      <c r="Z59" s="305" t="str">
        <f t="shared" si="11"/>
        <v/>
      </c>
      <c r="AA59" s="129" t="str">
        <f t="shared" si="12"/>
        <v/>
      </c>
      <c r="AB59" s="303" t="str">
        <f>IF(K59="","",_xlfn.XLOOKUP(I59,'Emission Factors'!$M$432:$M$787,'Emission Factors'!$W$432:$W$787))</f>
        <v/>
      </c>
      <c r="AC59" s="67"/>
      <c r="AD59" s="151"/>
    </row>
    <row r="60" spans="2:30">
      <c r="B60" s="166"/>
      <c r="C60" s="173"/>
      <c r="D60" s="103"/>
      <c r="E60" s="146"/>
      <c r="F60" s="103"/>
      <c r="G60" s="103"/>
      <c r="H60" s="103"/>
      <c r="I60" s="105" t="str">
        <f t="shared" si="9"/>
        <v/>
      </c>
      <c r="J60" s="148"/>
      <c r="K60" s="103"/>
      <c r="L60" s="143"/>
      <c r="M60" s="97" t="str">
        <f t="shared" si="6"/>
        <v/>
      </c>
      <c r="N60" s="303" t="str" cm="1">
        <f t="array" ref="N60">IF(K60="","",IF(F60="Distance",_xlfn.XLOOKUP(I60&amp;K60,'Emission Factors'!$M$196:$M$352&amp;'Emission Factors'!$U$196:$U$352,'Emission Factors'!$U$196:$U$352),IF(F60="Fuel Use",_xlfn.XLOOKUP(I60,'Emission Factors'!$M$196:$M$352,'Emission Factors'!$U$196:$U$352))))</f>
        <v/>
      </c>
      <c r="O60" s="305" t="str">
        <f>IF(F60="Distance",1,IF(K60="","",IF(OR($K60="Litre",$K60="Tonne"),_xlfn.XLOOKUP(H60&amp;N60&amp;M60,Conversions!$E$20:$E$104,Conversions!$F$20:$F$104),INDEX(Conversions!$C$4:$I$10,MATCH('V3 - Downstream Transport'!$M60,Conversions!$B$4:$B$10,0),MATCH('V3 - Downstream Transport'!$N60,Conversions!$C$3:$I$3,0)))))</f>
        <v/>
      </c>
      <c r="P60" s="309" t="str" cm="1">
        <f t="array" ref="P60">IF(F60="Distance",_xlfn.XLOOKUP(I60&amp;K60,'Emission Factors'!$M:$M&amp;'Emission Factors'!$U:$U,'Emission Factors'!$T:$T),IF(K60="","",_xlfn.XLOOKUP(I60,'Emission Factors'!$M$196:$M$352,'Emission Factors'!$T$196:$T$352)*O60))</f>
        <v/>
      </c>
      <c r="Q60" s="305" t="str">
        <f t="shared" si="7"/>
        <v/>
      </c>
      <c r="R60" s="144" t="str">
        <f t="shared" si="13"/>
        <v/>
      </c>
      <c r="S60" s="303" t="str">
        <f>IF(K60="","",_xlfn.XLOOKUP(I60,'Emission Factors'!$M:$M,'Emission Factors'!$W:$W))</f>
        <v/>
      </c>
      <c r="T60" s="146"/>
      <c r="U60" s="67"/>
      <c r="V60" s="303" t="str">
        <f t="shared" si="10"/>
        <v/>
      </c>
      <c r="W60" s="303" t="str" cm="1">
        <f t="array" ref="W60">IF(K60="","",IF(F60="Distance",_xlfn.XLOOKUP(I60&amp;K60,'Emission Factors'!$M$432:$M$787&amp;'Emission Factors'!$U$432:$U$787,'Emission Factors'!$U$432:$U$787),IF(F60="Fuel Use",_xlfn.XLOOKUP(I60,'Emission Factors'!$M$432:$M$787,'Emission Factors'!$U$432:$U$787))))</f>
        <v/>
      </c>
      <c r="X60" s="332" t="str">
        <f>IF(F60="Distance",1,IF(K60="","",IF(OR($K60="Litre",$K60="Tonne"),_xlfn.XLOOKUP(H60&amp;N60&amp;M60,Conversions!$E$20:$E$104,Conversions!$F$20:$F$104),INDEX(Conversions!$C$4:$I$10,MATCH('V3 - Downstream Transport'!$M60,Conversions!$B$4:$B$10,0),MATCH('V3 - Downstream Transport'!$N60,Conversions!$C$3:$I$3,0)))))</f>
        <v/>
      </c>
      <c r="Y60" s="309" t="str">
        <f>IF(K60="","",_xlfn.XLOOKUP(I60,'Emission Factors'!$M$432:$M$787,'Emission Factors'!$S$432:$S$787)*X60)</f>
        <v/>
      </c>
      <c r="Z60" s="305" t="str">
        <f t="shared" si="11"/>
        <v/>
      </c>
      <c r="AA60" s="129" t="str">
        <f t="shared" si="12"/>
        <v/>
      </c>
      <c r="AB60" s="303" t="str">
        <f>IF(K60="","",_xlfn.XLOOKUP(I60,'Emission Factors'!$M$432:$M$787,'Emission Factors'!$W$432:$W$787))</f>
        <v/>
      </c>
      <c r="AC60" s="67"/>
      <c r="AD60" s="151"/>
    </row>
    <row r="61" spans="2:30">
      <c r="B61" s="166"/>
      <c r="C61" s="173"/>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151"/>
    </row>
    <row r="62" spans="2:30" ht="15.75">
      <c r="B62" s="166"/>
      <c r="C62" s="173"/>
      <c r="D62" s="312" t="str">
        <f>'V3 - Upstream Transport'!D62</f>
        <v>Samanlagt</v>
      </c>
      <c r="E62" s="82"/>
      <c r="F62" s="82"/>
      <c r="G62" s="82"/>
      <c r="H62" s="82"/>
      <c r="I62" s="82"/>
      <c r="J62" s="82"/>
      <c r="K62" s="82"/>
      <c r="L62" s="82"/>
      <c r="M62" s="82"/>
      <c r="N62" s="82"/>
      <c r="O62" s="82"/>
      <c r="P62" s="82"/>
      <c r="Q62" s="82"/>
      <c r="R62" s="150">
        <f>SUM($R$31:$R$60)</f>
        <v>0</v>
      </c>
      <c r="S62" s="119"/>
      <c r="T62" s="119"/>
      <c r="U62" s="67"/>
      <c r="V62" s="175"/>
      <c r="W62" s="175"/>
      <c r="X62" s="175"/>
      <c r="Y62" s="175"/>
      <c r="Z62" s="175"/>
      <c r="AA62" s="184">
        <f>SUM($AA$31:$AA$60)</f>
        <v>0</v>
      </c>
      <c r="AB62" s="175"/>
      <c r="AC62" s="67"/>
      <c r="AD62" s="151"/>
    </row>
    <row r="63" spans="2:30">
      <c r="B63" s="166"/>
      <c r="C63" s="173"/>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51"/>
    </row>
    <row r="64" spans="2:30" hidden="1">
      <c r="B64" s="166"/>
      <c r="C64" s="173"/>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51"/>
    </row>
    <row r="65" spans="2:30" ht="48.6" hidden="1" customHeight="1">
      <c r="B65" s="166"/>
      <c r="C65" s="173"/>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51"/>
    </row>
    <row r="66" spans="2:30" hidden="1">
      <c r="B66" s="166"/>
      <c r="C66" s="173"/>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51"/>
    </row>
    <row r="67" spans="2:30" hidden="1">
      <c r="B67" s="166"/>
      <c r="C67" s="173"/>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51"/>
    </row>
    <row r="68" spans="2:30" hidden="1">
      <c r="B68" s="166"/>
      <c r="C68" s="173"/>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51"/>
    </row>
    <row r="69" spans="2:30" hidden="1">
      <c r="B69" s="166"/>
      <c r="C69" s="173"/>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151"/>
    </row>
    <row r="70" spans="2:30" hidden="1">
      <c r="B70" s="166"/>
      <c r="C70" s="173"/>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151"/>
    </row>
    <row r="71" spans="2:30" hidden="1">
      <c r="B71" s="166"/>
      <c r="C71" s="173"/>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151"/>
    </row>
    <row r="72" spans="2:30" hidden="1">
      <c r="B72" s="166"/>
      <c r="C72" s="173"/>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151"/>
    </row>
    <row r="73" spans="2:30" hidden="1">
      <c r="B73" s="166"/>
      <c r="C73" s="173"/>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51"/>
    </row>
    <row r="74" spans="2:30" hidden="1">
      <c r="B74" s="166"/>
      <c r="C74" s="173"/>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151"/>
    </row>
    <row r="75" spans="2:30" hidden="1">
      <c r="B75" s="166"/>
      <c r="C75" s="173"/>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51"/>
    </row>
    <row r="76" spans="2:30" hidden="1">
      <c r="B76" s="166"/>
      <c r="C76" s="173"/>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51"/>
    </row>
    <row r="77" spans="2:30" hidden="1">
      <c r="B77" s="166"/>
      <c r="C77" s="173"/>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51"/>
    </row>
    <row r="78" spans="2:30" hidden="1">
      <c r="B78" s="166"/>
      <c r="C78" s="173"/>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51"/>
    </row>
    <row r="79" spans="2:30" hidden="1">
      <c r="B79" s="166"/>
      <c r="C79" s="173"/>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51"/>
    </row>
    <row r="80" spans="2:30" hidden="1">
      <c r="B80" s="166"/>
      <c r="C80" s="173"/>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51"/>
    </row>
    <row r="81" spans="2:30" hidden="1">
      <c r="B81" s="166"/>
      <c r="C81" s="173"/>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51"/>
    </row>
    <row r="82" spans="2:30" hidden="1">
      <c r="B82" s="166"/>
      <c r="C82" s="173"/>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51"/>
    </row>
    <row r="83" spans="2:30" hidden="1">
      <c r="B83" s="166"/>
      <c r="C83" s="173"/>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51"/>
    </row>
    <row r="84" spans="2:30" hidden="1">
      <c r="B84" s="166"/>
      <c r="C84" s="173"/>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51"/>
    </row>
    <row r="85" spans="2:30" hidden="1">
      <c r="B85" s="166"/>
      <c r="C85" s="173"/>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51"/>
    </row>
    <row r="86" spans="2:30" hidden="1">
      <c r="B86" s="166"/>
      <c r="C86" s="173"/>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51"/>
    </row>
    <row r="87" spans="2:30" hidden="1">
      <c r="B87" s="166"/>
      <c r="C87" s="173"/>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51"/>
    </row>
    <row r="88" spans="2:30" hidden="1">
      <c r="B88" s="166"/>
      <c r="C88" s="173"/>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51"/>
    </row>
    <row r="89" spans="2:30" hidden="1">
      <c r="B89" s="166"/>
      <c r="C89" s="173"/>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51"/>
    </row>
    <row r="90" spans="2:30" hidden="1">
      <c r="B90" s="166"/>
      <c r="C90" s="173"/>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51"/>
    </row>
    <row r="91" spans="2:30" hidden="1">
      <c r="B91" s="166"/>
      <c r="C91" s="173"/>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51"/>
    </row>
    <row r="92" spans="2:30" hidden="1">
      <c r="B92" s="166"/>
      <c r="C92" s="173"/>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51"/>
    </row>
    <row r="93" spans="2:30" hidden="1">
      <c r="B93" s="166"/>
      <c r="C93" s="173"/>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51"/>
    </row>
    <row r="94" spans="2:30" hidden="1">
      <c r="B94" s="166"/>
      <c r="C94" s="173"/>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51"/>
    </row>
    <row r="95" spans="2:30" hidden="1">
      <c r="B95" s="166"/>
      <c r="C95" s="173"/>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51"/>
    </row>
    <row r="96" spans="2:30" hidden="1">
      <c r="B96" s="166"/>
      <c r="C96" s="173"/>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1"/>
    </row>
    <row r="97" spans="2:30" hidden="1">
      <c r="B97" s="166"/>
      <c r="C97" s="173"/>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51"/>
    </row>
    <row r="98" spans="2:30" hidden="1">
      <c r="B98" s="166"/>
      <c r="C98" s="173"/>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1"/>
    </row>
    <row r="99" spans="2:30" hidden="1">
      <c r="B99" s="166"/>
      <c r="C99" s="173"/>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51"/>
    </row>
    <row r="100" spans="2:30">
      <c r="B100" s="166"/>
      <c r="C100" s="173"/>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1"/>
    </row>
    <row r="101" spans="2:30">
      <c r="B101" s="166"/>
      <c r="C101" s="173"/>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1"/>
    </row>
    <row r="102" spans="2:30">
      <c r="B102" s="166"/>
      <c r="C102" s="17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1"/>
    </row>
    <row r="103" spans="2:30" ht="16.350000000000001" customHeight="1">
      <c r="B103" s="166"/>
      <c r="C103" s="173"/>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1"/>
    </row>
    <row r="104" spans="2:30">
      <c r="B104" s="166"/>
      <c r="C104" s="173"/>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1"/>
    </row>
  </sheetData>
  <sheetProtection algorithmName="SHA-512" hashValue="NVev3lzykCOxWxDl9K03cDJK4fs/FDjWB9UARDGi+HfFFZ8oCtnwdCWA7iKqBnPb0Bktd9PtfXD1CcMNkPtDKQ==" saltValue="p7jNYGvz9LL24/ElQEFaqg==" spinCount="100000" sheet="1" objects="1" scenarios="1"/>
  <dataConsolidate/>
  <mergeCells count="7">
    <mergeCell ref="D29:T29"/>
    <mergeCell ref="V22:AB22"/>
    <mergeCell ref="D4:T11"/>
    <mergeCell ref="D12:T12"/>
    <mergeCell ref="D22:T22"/>
    <mergeCell ref="D14:L14"/>
    <mergeCell ref="D15:L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C8CF330-D69E-4141-8A1F-B61703A7A668}">
          <x14:formula1>
            <xm:f>Dropdown!$AC$3:$AC$4</xm:f>
          </x14:formula1>
          <xm:sqref>F31:F60 F24:F25</xm:sqref>
        </x14:dataValidation>
        <x14:dataValidation type="list" allowBlank="1" showInputMessage="1" showErrorMessage="1" xr:uid="{512AF7B2-A0ED-4BE7-B9B8-082458E274E3}">
          <x14:formula1>
            <xm:f>IF(F24="Fuel Use",Dropdown!$AI$3:$AI$22,Dropdown!$AR$3:$AR$8)</xm:f>
          </x14:formula1>
          <xm:sqref>G24:G25 G31:G60</xm:sqref>
        </x14:dataValidation>
        <x14:dataValidation type="list" allowBlank="1" showInputMessage="1" showErrorMessage="1" xr:uid="{244D98AD-F20A-478F-9D9E-48C2800350D1}">
          <x14:formula1>
            <xm:f>'Organisation Details'!$G$33:$G$58</xm:f>
          </x14:formula1>
          <xm:sqref>D31:D60</xm:sqref>
        </x14:dataValidation>
        <x14:dataValidation type="list" allowBlank="1" showInputMessage="1" showErrorMessage="1" xr:uid="{7F4743A4-4124-44E1-8F70-501D2B9ED102}">
          <x14:formula1>
            <xm:f>Dropdown!$C$3:$C$7</xm:f>
          </x14:formula1>
          <xm:sqref>D24:D25</xm:sqref>
        </x14:dataValidation>
        <x14:dataValidation type="list" allowBlank="1" showInputMessage="1" showErrorMessage="1" xr:uid="{C05F3A7B-0ED6-41E5-A307-1561303A0A95}">
          <x14:formula1>
            <xm:f>IF(F24="Fuel Use",Dropdown!$F$3:$F$11,IF(F24="Distance",INDIRECT(_xlfn.XLOOKUP(G24,Dropdown!$AO$3:$AO$14,Dropdown!$AP$3:$AP$14))))</xm:f>
          </x14:formula1>
          <xm:sqref>K24:K25 K31:K60</xm:sqref>
        </x14:dataValidation>
        <x14:dataValidation type="list" allowBlank="1" showInputMessage="1" showErrorMessage="1" xr:uid="{D4CEC124-780A-4EFC-8300-FDC518E3061E}">
          <x14:formula1>
            <xm:f>IF(F24="Fuel Use",INDIRECT(_xlfn.XLOOKUP(G24,Dropdown!$AF$3:$AF$50,Dropdown!$AG$3:$AG$50)),IF(F24="Distance",INDIRECT(_xlfn.XLOOKUP(G24,Dropdown!$AL$3:$AL$40,Dropdown!$AM$3:$AM$40))))</xm:f>
          </x14:formula1>
          <xm:sqref>H24:H25 H31:H60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7BD7-B33D-48A0-9F80-590C7AE11373}">
  <sheetPr codeName="Sheet12">
    <tabColor rgb="FF9C86CD"/>
  </sheetPr>
  <dimension ref="A1:AB104"/>
  <sheetViews>
    <sheetView showGridLines="0" showRowColHeaders="0" topLeftCell="B2" zoomScale="75" zoomScaleNormal="75" workbookViewId="0">
      <selection activeCell="O19" sqref="O19"/>
    </sheetView>
  </sheetViews>
  <sheetFormatPr defaultColWidth="0" defaultRowHeight="14.25" zeroHeight="1"/>
  <cols>
    <col min="1" max="1" width="42.7109375" style="71" hidden="1" customWidth="1"/>
    <col min="2" max="2" width="4.28515625" style="71" customWidth="1"/>
    <col min="3" max="3" width="4.7109375" style="178" customWidth="1"/>
    <col min="4" max="4" width="36.28515625" style="71" customWidth="1"/>
    <col min="5" max="5" width="44.28515625" style="71" customWidth="1"/>
    <col min="6" max="6" width="22.42578125" style="71" customWidth="1"/>
    <col min="7" max="7" width="52.42578125" style="71" customWidth="1"/>
    <col min="8" max="8" width="11.85546875" style="71" hidden="1" customWidth="1"/>
    <col min="9" max="9" width="19.42578125" style="71" customWidth="1"/>
    <col min="10" max="10" width="16.42578125" style="71" customWidth="1"/>
    <col min="11" max="11" width="16.42578125" style="71" hidden="1" customWidth="1"/>
    <col min="12" max="12" width="30.85546875" style="71" customWidth="1"/>
    <col min="13" max="14" width="20.85546875" style="71" customWidth="1"/>
    <col min="15" max="15" width="22.7109375" style="71" customWidth="1"/>
    <col min="16" max="16" width="35.85546875" style="71" customWidth="1"/>
    <col min="17" max="17" width="130.7109375" style="71" customWidth="1"/>
    <col min="18" max="18" width="43.42578125" style="71" customWidth="1"/>
    <col min="19" max="20" width="14" style="71" customWidth="1"/>
    <col min="21" max="21" width="30.7109375" style="71" customWidth="1"/>
    <col min="22" max="22" width="20.7109375" style="71" customWidth="1"/>
    <col min="23" max="24" width="25.85546875" style="71" customWidth="1"/>
    <col min="25" max="25" width="30.7109375" style="71" customWidth="1"/>
    <col min="26" max="26" width="130.7109375" style="71" customWidth="1"/>
    <col min="27" max="27" width="14" style="71" customWidth="1"/>
    <col min="28" max="28" width="113.42578125" style="179" customWidth="1"/>
    <col min="29" max="16384" width="14" style="71" hidden="1"/>
  </cols>
  <sheetData>
    <row r="1" spans="1:28" ht="14.1" hidden="1" customHeight="1">
      <c r="C1" s="71"/>
      <c r="D1" s="166"/>
      <c r="E1" s="166"/>
      <c r="F1" s="166"/>
      <c r="G1" s="166"/>
      <c r="H1" s="166"/>
      <c r="I1" s="166"/>
      <c r="J1" s="166"/>
      <c r="K1" s="166"/>
      <c r="L1" s="166"/>
      <c r="M1" s="166"/>
      <c r="N1" s="166"/>
      <c r="O1" s="166"/>
      <c r="P1" s="166"/>
      <c r="Q1" s="166"/>
      <c r="R1" s="166"/>
      <c r="S1" s="166"/>
      <c r="T1" s="166"/>
      <c r="U1" s="166"/>
      <c r="V1" s="166"/>
      <c r="W1" s="166"/>
      <c r="X1" s="166"/>
      <c r="AB1" s="71"/>
    </row>
    <row r="2" spans="1:28" ht="13.5" customHeight="1">
      <c r="A2" s="71" t="str">
        <f>Introduction!$E$14</f>
        <v>Føroyskt</v>
      </c>
      <c r="B2" s="167"/>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row>
    <row r="3" spans="1:28">
      <c r="A3" s="168" t="s">
        <v>0</v>
      </c>
      <c r="B3" s="166"/>
      <c r="C3" s="169"/>
      <c r="D3" s="170"/>
      <c r="E3" s="170"/>
      <c r="F3" s="170"/>
      <c r="G3" s="170"/>
      <c r="H3" s="170"/>
      <c r="I3" s="170"/>
      <c r="J3" s="170"/>
      <c r="K3" s="170"/>
      <c r="L3" s="170"/>
      <c r="M3" s="170"/>
      <c r="N3" s="170"/>
      <c r="O3" s="170"/>
      <c r="P3" s="170"/>
      <c r="Q3" s="170"/>
      <c r="R3" s="170"/>
      <c r="S3" s="170"/>
      <c r="T3" s="170"/>
      <c r="U3" s="170"/>
      <c r="V3" s="170"/>
      <c r="W3" s="170"/>
      <c r="X3" s="170"/>
      <c r="Y3" s="170"/>
      <c r="Z3" s="170"/>
      <c r="AA3" s="170"/>
      <c r="AB3" s="171"/>
    </row>
    <row r="4" spans="1:28" ht="5.0999999999999996" customHeight="1">
      <c r="A4" s="71" t="s">
        <v>111</v>
      </c>
      <c r="B4" s="172"/>
      <c r="C4" s="173"/>
      <c r="D4" s="418" t="str">
        <f>IF($A$2="English",_xlfn.XLOOKUP($A$3,Descriptions!$A:$A,Descriptions!$B:$B),_xlfn.XLOOKUP($A$3,Descriptions!$A:$A,Descriptions!$C:$C))</f>
        <v>Føroyskur CO2-roknari. Ár: 2023</v>
      </c>
      <c r="E4" s="418"/>
      <c r="F4" s="418"/>
      <c r="G4" s="418"/>
      <c r="H4" s="418"/>
      <c r="I4" s="418"/>
      <c r="J4" s="418"/>
      <c r="K4" s="418"/>
      <c r="L4" s="418"/>
      <c r="M4" s="418"/>
      <c r="N4" s="418"/>
      <c r="O4" s="418"/>
      <c r="P4" s="418"/>
      <c r="Q4" s="418"/>
      <c r="R4" s="418"/>
      <c r="S4" s="418"/>
      <c r="T4" s="418"/>
      <c r="U4" s="418"/>
      <c r="V4" s="418"/>
      <c r="W4" s="418"/>
      <c r="X4" s="418"/>
      <c r="Y4" s="418"/>
      <c r="Z4" s="418"/>
      <c r="AA4" s="67"/>
      <c r="AB4" s="151"/>
    </row>
    <row r="5" spans="1:28" ht="5.0999999999999996" customHeight="1">
      <c r="A5" s="71" t="s">
        <v>259</v>
      </c>
      <c r="B5" s="166"/>
      <c r="C5" s="173"/>
      <c r="D5" s="418"/>
      <c r="E5" s="418"/>
      <c r="F5" s="418"/>
      <c r="G5" s="418"/>
      <c r="H5" s="418"/>
      <c r="I5" s="418"/>
      <c r="J5" s="418"/>
      <c r="K5" s="418"/>
      <c r="L5" s="418"/>
      <c r="M5" s="418"/>
      <c r="N5" s="418"/>
      <c r="O5" s="418"/>
      <c r="P5" s="418"/>
      <c r="Q5" s="418"/>
      <c r="R5" s="418"/>
      <c r="S5" s="418"/>
      <c r="T5" s="418"/>
      <c r="U5" s="418"/>
      <c r="V5" s="418"/>
      <c r="W5" s="418"/>
      <c r="X5" s="418"/>
      <c r="Y5" s="418"/>
      <c r="Z5" s="418"/>
      <c r="AA5" s="67"/>
      <c r="AB5" s="151"/>
    </row>
    <row r="6" spans="1:28" ht="5.0999999999999996" customHeight="1">
      <c r="A6" s="71" t="s">
        <v>243</v>
      </c>
      <c r="B6" s="166"/>
      <c r="C6" s="173"/>
      <c r="D6" s="418"/>
      <c r="E6" s="418"/>
      <c r="F6" s="418"/>
      <c r="G6" s="418"/>
      <c r="H6" s="418"/>
      <c r="I6" s="418"/>
      <c r="J6" s="418"/>
      <c r="K6" s="418"/>
      <c r="L6" s="418"/>
      <c r="M6" s="418"/>
      <c r="N6" s="418"/>
      <c r="O6" s="418"/>
      <c r="P6" s="418"/>
      <c r="Q6" s="418"/>
      <c r="R6" s="418"/>
      <c r="S6" s="418"/>
      <c r="T6" s="418"/>
      <c r="U6" s="418"/>
      <c r="V6" s="418"/>
      <c r="W6" s="418"/>
      <c r="X6" s="418"/>
      <c r="Y6" s="418"/>
      <c r="Z6" s="418"/>
      <c r="AA6" s="67"/>
      <c r="AB6" s="151"/>
    </row>
    <row r="7" spans="1:28" ht="5.0999999999999996" customHeight="1">
      <c r="A7" s="71" t="s">
        <v>252</v>
      </c>
      <c r="B7" s="166"/>
      <c r="C7" s="173"/>
      <c r="D7" s="418"/>
      <c r="E7" s="418"/>
      <c r="F7" s="418"/>
      <c r="G7" s="418"/>
      <c r="H7" s="418"/>
      <c r="I7" s="418"/>
      <c r="J7" s="418"/>
      <c r="K7" s="418"/>
      <c r="L7" s="418"/>
      <c r="M7" s="418"/>
      <c r="N7" s="418"/>
      <c r="O7" s="418"/>
      <c r="P7" s="418"/>
      <c r="Q7" s="418"/>
      <c r="R7" s="418"/>
      <c r="S7" s="418"/>
      <c r="T7" s="418"/>
      <c r="U7" s="418"/>
      <c r="V7" s="418"/>
      <c r="W7" s="418"/>
      <c r="X7" s="418"/>
      <c r="Y7" s="418"/>
      <c r="Z7" s="418"/>
      <c r="AA7" s="67"/>
      <c r="AB7" s="151"/>
    </row>
    <row r="8" spans="1:28" ht="5.0999999999999996" customHeight="1">
      <c r="A8" s="71" t="s">
        <v>167</v>
      </c>
      <c r="B8" s="166"/>
      <c r="C8" s="173"/>
      <c r="D8" s="418"/>
      <c r="E8" s="418"/>
      <c r="F8" s="418"/>
      <c r="G8" s="418"/>
      <c r="H8" s="418"/>
      <c r="I8" s="418"/>
      <c r="J8" s="418"/>
      <c r="K8" s="418"/>
      <c r="L8" s="418"/>
      <c r="M8" s="418"/>
      <c r="N8" s="418"/>
      <c r="O8" s="418"/>
      <c r="P8" s="418"/>
      <c r="Q8" s="418"/>
      <c r="R8" s="418"/>
      <c r="S8" s="418"/>
      <c r="T8" s="418"/>
      <c r="U8" s="418"/>
      <c r="V8" s="418"/>
      <c r="W8" s="418"/>
      <c r="X8" s="418"/>
      <c r="Y8" s="418"/>
      <c r="Z8" s="418"/>
      <c r="AA8" s="67"/>
      <c r="AB8" s="151"/>
    </row>
    <row r="9" spans="1:28" ht="5.0999999999999996" customHeight="1">
      <c r="A9" s="71" t="s">
        <v>168</v>
      </c>
      <c r="B9" s="166"/>
      <c r="C9" s="173"/>
      <c r="D9" s="418"/>
      <c r="E9" s="418"/>
      <c r="F9" s="418"/>
      <c r="G9" s="418"/>
      <c r="H9" s="418"/>
      <c r="I9" s="418"/>
      <c r="J9" s="418"/>
      <c r="K9" s="418"/>
      <c r="L9" s="418"/>
      <c r="M9" s="418"/>
      <c r="N9" s="418"/>
      <c r="O9" s="418"/>
      <c r="P9" s="418"/>
      <c r="Q9" s="418"/>
      <c r="R9" s="418"/>
      <c r="S9" s="418"/>
      <c r="T9" s="418"/>
      <c r="U9" s="418"/>
      <c r="V9" s="418"/>
      <c r="W9" s="418"/>
      <c r="X9" s="418"/>
      <c r="Y9" s="418"/>
      <c r="Z9" s="418"/>
      <c r="AA9" s="67"/>
      <c r="AB9" s="151"/>
    </row>
    <row r="10" spans="1:28" ht="5.0999999999999996" customHeight="1">
      <c r="A10" s="71" t="s">
        <v>169</v>
      </c>
      <c r="B10" s="166"/>
      <c r="C10" s="173"/>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67"/>
      <c r="AB10" s="151"/>
    </row>
    <row r="11" spans="1:28" ht="5.0999999999999996" customHeight="1">
      <c r="A11" s="71" t="s">
        <v>170</v>
      </c>
      <c r="B11" s="166"/>
      <c r="C11" s="173"/>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67"/>
      <c r="AB11" s="151"/>
    </row>
    <row r="12" spans="1:28" ht="99.95" customHeight="1">
      <c r="A12" s="71" t="s">
        <v>171</v>
      </c>
      <c r="B12" s="166"/>
      <c r="C12" s="173"/>
      <c r="D12" s="419" t="str">
        <f>IF($A$2="English",_xlfn.XLOOKUP($A$4,Descriptions!$A:$A,Descriptions!$B:$B),_xlfn.XLOOKUP($A$4,Descriptions!$A:$A,Descriptions!$C:$C))</f>
        <v>V3 - Arbeiðsferðing</v>
      </c>
      <c r="E12" s="419"/>
      <c r="F12" s="419"/>
      <c r="G12" s="419"/>
      <c r="H12" s="419"/>
      <c r="I12" s="419"/>
      <c r="J12" s="419"/>
      <c r="K12" s="419"/>
      <c r="L12" s="419"/>
      <c r="M12" s="419"/>
      <c r="N12" s="419"/>
      <c r="O12" s="419"/>
      <c r="P12" s="419"/>
      <c r="Q12" s="419"/>
      <c r="R12" s="419"/>
      <c r="S12" s="419"/>
      <c r="T12" s="419"/>
      <c r="U12" s="419"/>
      <c r="V12" s="419"/>
      <c r="W12" s="419"/>
      <c r="X12" s="419"/>
      <c r="Y12" s="419"/>
      <c r="Z12" s="419"/>
      <c r="AA12" s="67"/>
      <c r="AB12" s="151"/>
    </row>
    <row r="13" spans="1:28">
      <c r="A13" s="71" t="s">
        <v>172</v>
      </c>
      <c r="B13" s="166"/>
      <c r="C13" s="173"/>
      <c r="D13" s="67"/>
      <c r="E13" s="67"/>
      <c r="F13" s="67"/>
      <c r="G13" s="67"/>
      <c r="H13" s="67"/>
      <c r="I13" s="67"/>
      <c r="J13" s="67"/>
      <c r="K13" s="67"/>
      <c r="L13" s="67"/>
      <c r="M13" s="67"/>
      <c r="N13" s="67"/>
      <c r="O13" s="67"/>
      <c r="P13" s="67"/>
      <c r="Q13" s="67"/>
      <c r="R13" s="67"/>
      <c r="S13" s="67"/>
      <c r="T13" s="67"/>
      <c r="U13" s="67"/>
      <c r="V13" s="67"/>
      <c r="W13" s="67"/>
      <c r="X13" s="67"/>
      <c r="Y13" s="67"/>
      <c r="Z13" s="67"/>
      <c r="AA13" s="67"/>
      <c r="AB13" s="151"/>
    </row>
    <row r="14" spans="1:28" ht="30" customHeight="1">
      <c r="A14" s="71" t="s">
        <v>173</v>
      </c>
      <c r="B14" s="166"/>
      <c r="C14" s="173"/>
      <c r="D14" s="437" t="str">
        <f>IF($A$2="English",_xlfn.XLOOKUP($A$28,Descriptions!$A:$A,Descriptions!$B:$B),_xlfn.XLOOKUP($A$28,Descriptions!$A:$A,Descriptions!$C:$C))</f>
        <v>Vegleiðing</v>
      </c>
      <c r="E14" s="437"/>
      <c r="F14" s="437"/>
      <c r="G14" s="437"/>
      <c r="H14" s="437"/>
      <c r="I14" s="437"/>
      <c r="J14" s="437"/>
      <c r="K14" s="437"/>
      <c r="L14" s="437"/>
      <c r="M14" s="437"/>
      <c r="N14" s="437"/>
      <c r="O14" s="67"/>
      <c r="P14" s="347" t="str">
        <f>'V3 - Downstream Transport'!Q14</f>
        <v>Key</v>
      </c>
      <c r="Q14" s="67"/>
      <c r="R14" s="67"/>
      <c r="S14" s="67"/>
      <c r="T14" s="67"/>
      <c r="U14" s="67"/>
      <c r="V14" s="67"/>
      <c r="W14" s="67"/>
      <c r="X14" s="67"/>
      <c r="Y14" s="67"/>
      <c r="Z14" s="67"/>
      <c r="AA14" s="67"/>
      <c r="AB14" s="151"/>
    </row>
    <row r="15" spans="1:28" ht="14.1" customHeight="1">
      <c r="A15" s="71" t="s">
        <v>175</v>
      </c>
      <c r="B15" s="166"/>
      <c r="C15" s="173"/>
      <c r="D15" s="453" t="str">
        <f>IF($A$2="English",_xlfn.XLOOKUP($A$5,Descriptions!$A:$A,Descriptions!$B:$B),_xlfn.XLOOKUP($A$5,Descriptions!$A:$A,Descriptions!$C:$C))</f>
        <v>Virkiski 3 - Arbeiðsferðing fevnir um flutning av starvsfólki í arbeiðsørindum í akførum, sum triði partur eigur ella rekur, til dømis flogførum, tokum, bussum og bilum. Hesar dátur kunnu savnast gjøgnum innanhýsis skipanir ella ferðakort.
Kravdar dátur:
• Fasilitetur/ogn og staðseting (haðan ferðast verður)
• Virksemi (í sambandi við ferðing)
• Flutningsháttur
• Útlátskelda
• Ferðateinur tils.
• Eind fyri tein
GG:
• Ferðafólk.km - Ferðateinur hjá einstøkum ferðafólki við viðkomandi flutningshátti. Akfars-km-virði skulu setast á heil akfør (t.d. ein bil ella hýruvogn), ið verða brúkt til arbeiðsørindi. Ferðafólka-km-virði skulu brúkast, tá ið einstøk ferðafólk ferðast við samferðslu (t.d. toki), og málið er at boða frá útláti fyri hvønn einstakan persón, ikki fyri alt akfarið.
• Dáturnar fyri flogferðing eru frá bretsku BEIS útlátsfaktorunum, tí at ongar føroyskar dátur av hesum slag eru tøkar. Teinarnir, ið eru tøkir, og sum skulu brúkast eftir førimuni til føroyskt virksemi, eru:
      •Innlendisferðir: ferðir millum bretskar flogvøllir.
      •Stuttur teinur: altjóða ferðir til/úr Stórabretlandi, vanliga úr/til Evropa frá/til Stórabretland (í mesta lagi 3.700 km).
      •Langur teinur: altjóða ferðir til/úr Stórabretlandi, vanliga út um Evropa (meiri enn 3.700 km).
      •Altjóða ferðir til/úr øðrum londum (ikki Stórabretlandi).
• Til flogferðing, um ferðaflokkingin er ókend (t.d. business class, economy class), so vel 'miðal-ferðafólk'-flokkingina.</v>
      </c>
      <c r="E15" s="453"/>
      <c r="F15" s="453"/>
      <c r="G15" s="453"/>
      <c r="H15" s="453"/>
      <c r="I15" s="453"/>
      <c r="J15" s="453"/>
      <c r="K15" s="453"/>
      <c r="L15" s="453"/>
      <c r="M15" s="453"/>
      <c r="N15" s="453"/>
      <c r="O15" s="67"/>
      <c r="P15" s="81" t="str">
        <f>'V3 - Downstream Transport'!Q15</f>
        <v>Dátuíkast - Fallmynd</v>
      </c>
      <c r="Q15" s="94"/>
      <c r="R15" s="67"/>
      <c r="S15" s="67"/>
      <c r="T15" s="67"/>
      <c r="U15" s="67"/>
      <c r="V15" s="67"/>
      <c r="W15" s="67"/>
      <c r="X15" s="67"/>
      <c r="Y15" s="67"/>
      <c r="Z15" s="67"/>
      <c r="AA15" s="67"/>
      <c r="AB15" s="151"/>
    </row>
    <row r="16" spans="1:28" ht="14.1" customHeight="1">
      <c r="A16" s="71" t="s">
        <v>176</v>
      </c>
      <c r="B16" s="166"/>
      <c r="C16" s="173"/>
      <c r="D16" s="453"/>
      <c r="E16" s="453"/>
      <c r="F16" s="453"/>
      <c r="G16" s="453"/>
      <c r="H16" s="453"/>
      <c r="I16" s="453"/>
      <c r="J16" s="453"/>
      <c r="K16" s="453"/>
      <c r="L16" s="453"/>
      <c r="M16" s="453"/>
      <c r="N16" s="453"/>
      <c r="O16" s="67"/>
      <c r="P16" s="82" t="str">
        <f>'V3 - Downstream Transport'!Q16</f>
        <v>Dátuíkast - Tøppa inn</v>
      </c>
      <c r="Q16" s="94"/>
      <c r="R16" s="94"/>
      <c r="S16" s="67"/>
      <c r="T16" s="67"/>
      <c r="U16" s="67"/>
      <c r="V16" s="67"/>
      <c r="W16" s="67"/>
      <c r="X16" s="67"/>
      <c r="Y16" s="67"/>
      <c r="Z16" s="67"/>
      <c r="AA16" s="67"/>
      <c r="AB16" s="151"/>
    </row>
    <row r="17" spans="1:28" ht="14.1" customHeight="1">
      <c r="A17" s="71" t="s">
        <v>177</v>
      </c>
      <c r="B17" s="166"/>
      <c r="C17" s="173"/>
      <c r="D17" s="453"/>
      <c r="E17" s="453"/>
      <c r="F17" s="453"/>
      <c r="G17" s="453"/>
      <c r="H17" s="453"/>
      <c r="I17" s="453"/>
      <c r="J17" s="453"/>
      <c r="K17" s="453"/>
      <c r="L17" s="453"/>
      <c r="M17" s="453"/>
      <c r="N17" s="453"/>
      <c r="O17" s="67"/>
      <c r="P17" s="302" t="str">
        <f>'V3 - Downstream Transport'!Q17</f>
        <v>Leiting (fastløst)</v>
      </c>
      <c r="Q17" s="94"/>
      <c r="R17" s="94"/>
      <c r="S17" s="67"/>
      <c r="T17" s="67"/>
      <c r="U17" s="67"/>
      <c r="V17" s="67"/>
      <c r="W17" s="67"/>
      <c r="X17" s="67"/>
      <c r="Y17" s="67"/>
      <c r="Z17" s="67"/>
      <c r="AA17" s="67"/>
      <c r="AB17" s="151"/>
    </row>
    <row r="18" spans="1:28" ht="14.1" customHeight="1">
      <c r="A18" s="71" t="s">
        <v>178</v>
      </c>
      <c r="B18" s="166"/>
      <c r="C18" s="173"/>
      <c r="D18" s="453"/>
      <c r="E18" s="453"/>
      <c r="F18" s="453"/>
      <c r="G18" s="453"/>
      <c r="H18" s="453"/>
      <c r="I18" s="453"/>
      <c r="J18" s="453"/>
      <c r="K18" s="453"/>
      <c r="L18" s="453"/>
      <c r="M18" s="453"/>
      <c r="N18" s="453"/>
      <c r="O18" s="67"/>
      <c r="P18" s="83" t="str">
        <f>'V3 - Downstream Transport'!Q18</f>
        <v>Útrokning</v>
      </c>
      <c r="Q18" s="94"/>
      <c r="R18" s="94"/>
      <c r="S18" s="67"/>
      <c r="T18" s="67"/>
      <c r="U18" s="67"/>
      <c r="V18" s="67"/>
      <c r="W18" s="67"/>
      <c r="X18" s="67"/>
      <c r="Y18" s="67"/>
      <c r="Z18" s="67"/>
      <c r="AA18" s="67"/>
      <c r="AB18" s="151"/>
    </row>
    <row r="19" spans="1:28" ht="129.94999999999999" customHeight="1">
      <c r="A19" s="71" t="s">
        <v>179</v>
      </c>
      <c r="B19" s="166"/>
      <c r="C19" s="173"/>
      <c r="D19" s="453"/>
      <c r="E19" s="453"/>
      <c r="F19" s="453"/>
      <c r="G19" s="453"/>
      <c r="H19" s="453"/>
      <c r="I19" s="453"/>
      <c r="J19" s="453"/>
      <c r="K19" s="453"/>
      <c r="L19" s="453"/>
      <c r="M19" s="453"/>
      <c r="N19" s="453"/>
      <c r="O19" s="67"/>
      <c r="P19" s="122"/>
      <c r="Q19" s="94"/>
      <c r="R19" s="94"/>
      <c r="S19" s="67"/>
      <c r="T19" s="67"/>
      <c r="U19" s="67"/>
      <c r="V19" s="67"/>
      <c r="W19" s="67"/>
      <c r="X19" s="67"/>
      <c r="Y19" s="67"/>
      <c r="Z19" s="67"/>
      <c r="AA19" s="67"/>
      <c r="AB19" s="151"/>
    </row>
    <row r="20" spans="1:28" ht="129.94999999999999" customHeight="1">
      <c r="A20" s="71" t="s">
        <v>180</v>
      </c>
      <c r="B20" s="166"/>
      <c r="C20" s="173"/>
      <c r="D20" s="453"/>
      <c r="E20" s="453"/>
      <c r="F20" s="453"/>
      <c r="G20" s="453"/>
      <c r="H20" s="453"/>
      <c r="I20" s="453"/>
      <c r="J20" s="453"/>
      <c r="K20" s="453"/>
      <c r="L20" s="453"/>
      <c r="M20" s="453"/>
      <c r="N20" s="453"/>
      <c r="O20" s="67"/>
      <c r="P20" s="67"/>
      <c r="Q20" s="94"/>
      <c r="R20" s="94"/>
      <c r="S20" s="67"/>
      <c r="T20" s="67"/>
      <c r="U20" s="67"/>
      <c r="V20" s="67"/>
      <c r="W20" s="67"/>
      <c r="X20" s="67"/>
      <c r="Y20" s="67"/>
      <c r="Z20" s="67"/>
      <c r="AA20" s="67"/>
      <c r="AB20" s="151"/>
    </row>
    <row r="21" spans="1:28" ht="15.6" customHeight="1">
      <c r="A21" s="71" t="s">
        <v>181</v>
      </c>
      <c r="B21" s="166"/>
      <c r="C21" s="173"/>
      <c r="D21" s="67"/>
      <c r="E21" s="67"/>
      <c r="F21" s="67"/>
      <c r="G21" s="67"/>
      <c r="H21" s="67"/>
      <c r="I21" s="67"/>
      <c r="J21" s="67"/>
      <c r="K21" s="67"/>
      <c r="L21" s="67"/>
      <c r="M21" s="67"/>
      <c r="N21" s="67"/>
      <c r="O21" s="67"/>
      <c r="P21" s="67"/>
      <c r="Q21" s="67"/>
      <c r="R21" s="67"/>
      <c r="S21" s="67"/>
      <c r="AA21" s="67"/>
      <c r="AB21" s="151"/>
    </row>
    <row r="22" spans="1:28" ht="30" customHeight="1">
      <c r="A22" s="71" t="s">
        <v>182</v>
      </c>
      <c r="B22" s="166"/>
      <c r="C22" s="173"/>
      <c r="D22" s="438" t="str">
        <f>IF($A$2="English",_xlfn.XLOOKUP($A$8,Descriptions!$A:$A,Descriptions!$B:$B),_xlfn.XLOOKUP($A$8,Descriptions!$A:$A,Descriptions!$C:$C))</f>
        <v>Dømi</v>
      </c>
      <c r="E22" s="438"/>
      <c r="F22" s="438"/>
      <c r="G22" s="438"/>
      <c r="H22" s="438"/>
      <c r="I22" s="438"/>
      <c r="J22" s="438"/>
      <c r="K22" s="438"/>
      <c r="L22" s="438"/>
      <c r="M22" s="438"/>
      <c r="N22" s="438"/>
      <c r="O22" s="438"/>
      <c r="P22" s="438"/>
      <c r="Q22" s="438"/>
      <c r="R22" s="438"/>
      <c r="S22" s="67"/>
      <c r="T22" s="437" t="str">
        <f>IF($A$2="English",_xlfn.XLOOKUP($A$25,Descriptions!$A:$A,Descriptions!$B:$B),_xlfn.XLOOKUP($A$25,Descriptions!$A:$A,Descriptions!$C:$C))</f>
        <v>Vav 3 - Virksemi tengt at brennievni og orku</v>
      </c>
      <c r="U22" s="437"/>
      <c r="V22" s="437"/>
      <c r="W22" s="437"/>
      <c r="X22" s="437"/>
      <c r="Y22" s="437"/>
      <c r="Z22" s="437"/>
      <c r="AA22" s="67"/>
      <c r="AB22" s="151"/>
    </row>
    <row r="23" spans="1:28" ht="30" customHeight="1">
      <c r="A23" s="71" t="s">
        <v>183</v>
      </c>
      <c r="B23" s="166"/>
      <c r="C23" s="173"/>
      <c r="D23" s="331" t="str">
        <f>IF($A$2="English",_xlfn.XLOOKUP($A$9,Descriptions!$A:$A,Descriptions!$B:$B),_xlfn.XLOOKUP($A$9,Descriptions!$A:$A,Descriptions!$C:$C))</f>
        <v>Fasilitetur/Ogn og staðseting</v>
      </c>
      <c r="E23" s="331" t="str">
        <f>IF($A$2="English",_xlfn.XLOOKUP($A$10,Descriptions!$A:$A,Descriptions!$B:$B),_xlfn.XLOOKUP($A$10,Descriptions!$A:$A,Descriptions!$C:$C))</f>
        <v>Virksemi</v>
      </c>
      <c r="F23" s="331" t="str">
        <f>IF($A$2="English",_xlfn.XLOOKUP($A$6,Descriptions!$A:$A,Descriptions!$B:$B),_xlfn.XLOOKUP($A$6,Descriptions!$A:$A,Descriptions!$C:$C))</f>
        <v>Flutningsháttur</v>
      </c>
      <c r="G23" s="331" t="str">
        <f>IF($A$2="English",_xlfn.XLOOKUP($A$7,Descriptions!$A:$A,Descriptions!$B:$B),_xlfn.XLOOKUP($A$7,Descriptions!$A:$A,Descriptions!$C:$C))</f>
        <v>Útlátskelda</v>
      </c>
      <c r="H23" s="331" t="s">
        <v>185</v>
      </c>
      <c r="I23" s="331" t="str">
        <f>IF($A$2="English",_xlfn.XLOOKUP($A$14,Descriptions!$A:$A,Descriptions!$B:$B),_xlfn.XLOOKUP($A$14,Descriptions!$A:$A,Descriptions!$C:$C))</f>
        <v>Nøgd</v>
      </c>
      <c r="J23" s="331" t="str">
        <f>IF($A$2="English",_xlfn.XLOOKUP($A$15,Descriptions!$A:$A,Descriptions!$B:$B),_xlfn.XLOOKUP($A$15,Descriptions!$A:$A,Descriptions!$C:$C))</f>
        <v>Eindir</v>
      </c>
      <c r="K23" s="331" t="s">
        <v>186</v>
      </c>
      <c r="L23" s="331" t="s">
        <v>187</v>
      </c>
      <c r="M23" s="331" t="s">
        <v>188</v>
      </c>
      <c r="N23" s="331" t="str">
        <f>IF($A$2="English",_xlfn.XLOOKUP($A$19,Descriptions!$A:$A,Descriptions!$B:$B),_xlfn.XLOOKUP($A$19,Descriptions!$A:$A,Descriptions!$C:$C))</f>
        <v>Útlátsfaktorur</v>
      </c>
      <c r="O23" s="331" t="str">
        <f>IF($A$2="English",_xlfn.XLOOKUP($A$20,Descriptions!$A:$A,Descriptions!$B:$B),_xlfn.XLOOKUP($A$20,Descriptions!$A:$A,Descriptions!$C:$C))</f>
        <v>Útlátsfaktorur Eind</v>
      </c>
      <c r="P23" s="331" t="str">
        <f>IF($A$2="English",_xlfn.XLOOKUP($A$21,Descriptions!$A:$A,Descriptions!$B:$B),_xlfn.XLOOKUP($A$21,Descriptions!$A:$A,Descriptions!$C:$C))</f>
        <v>Útlát av vakstrarhúsgassi (tons av CO2e)</v>
      </c>
      <c r="Q23" s="331" t="str">
        <f>IF($A$2="English",_xlfn.XLOOKUP($A$22,Descriptions!$A:$A,Descriptions!$B:$B),_xlfn.XLOOKUP($A$22,Descriptions!$A:$A,Descriptions!$C:$C))</f>
        <v>Kelda Útlátsfaktorur</v>
      </c>
      <c r="R23" s="331" t="str">
        <f>IF($A$2="English",_xlfn.XLOOKUP($A$23,Descriptions!$A:$A,Descriptions!$B:$B),_xlfn.XLOOKUP($A$23,Descriptions!$A:$A,Descriptions!$C:$C))</f>
        <v>Viðmerking frá brúkara</v>
      </c>
      <c r="S23" s="67"/>
      <c r="T23" s="331" t="s">
        <v>186</v>
      </c>
      <c r="U23" s="331" t="s">
        <v>187</v>
      </c>
      <c r="V23" s="331" t="s">
        <v>188</v>
      </c>
      <c r="W23" s="331" t="str">
        <f>IF($A$2="English",_xlfn.XLOOKUP($A$19,Descriptions!$A:$A,Descriptions!$B:$B),_xlfn.XLOOKUP($A$19,Descriptions!$A:$A,Descriptions!$C:$C))</f>
        <v>Útlátsfaktorur</v>
      </c>
      <c r="X23" s="331" t="str">
        <f>IF($A$2="English",_xlfn.XLOOKUP($A$20,Descriptions!$A:$A,Descriptions!$B:$B),_xlfn.XLOOKUP($A$20,Descriptions!$A:$A,Descriptions!$C:$C))</f>
        <v>Útlátsfaktorur Eind</v>
      </c>
      <c r="Y23" s="331" t="str">
        <f>IF($A$2="English",_xlfn.XLOOKUP($A$21,Descriptions!$A:$A,Descriptions!$B:$B),_xlfn.XLOOKUP($A$21,Descriptions!$A:$A,Descriptions!$C:$C))</f>
        <v>Útlát av vakstrarhúsgassi (tons av CO2e)</v>
      </c>
      <c r="Z23" s="331" t="str">
        <f>IF($A$2="English",_xlfn.XLOOKUP($A$22,Descriptions!$A:$A,Descriptions!$B:$B),_xlfn.XLOOKUP($A$22,Descriptions!$A:$A,Descriptions!$C:$C))</f>
        <v>Kelda Útlátsfaktorur</v>
      </c>
      <c r="AA23" s="67"/>
      <c r="AB23" s="151"/>
    </row>
    <row r="24" spans="1:28">
      <c r="A24" s="71" t="s">
        <v>199</v>
      </c>
      <c r="B24" s="166"/>
      <c r="C24" s="173"/>
      <c r="D24" s="95" t="s">
        <v>260</v>
      </c>
      <c r="E24" s="96" t="s">
        <v>261</v>
      </c>
      <c r="F24" s="95" t="s">
        <v>262</v>
      </c>
      <c r="G24" s="95" t="s">
        <v>263</v>
      </c>
      <c r="H24" s="97" t="str">
        <f>G24&amp;F24</f>
        <v>Regular taxiTaxi</v>
      </c>
      <c r="I24" s="98">
        <v>5000</v>
      </c>
      <c r="J24" s="95" t="s">
        <v>264</v>
      </c>
      <c r="K24" s="97" t="str">
        <f>IF(J24="","",J24)</f>
        <v>km</v>
      </c>
      <c r="L24" s="303" t="str" cm="1">
        <f t="array" ref="L24">IF(J24="","",_xlfn.XLOOKUP(H24&amp;J24,'Emission Factors'!$M$353:$M$382&amp;'Emission Factors'!$U$353:$U$382,'Emission Factors'!$U$353:$U$382))</f>
        <v>km</v>
      </c>
      <c r="M24" s="305">
        <f>IFERROR(IF(J24="","",INDEX(Conversions!$C$4:$I$10,MATCH($K24,Conversions!$B$4:$B$10,0),MATCH($L24,Conversions!$C$3:$I$3,0))),1)</f>
        <v>1</v>
      </c>
      <c r="N24" s="309" cm="1">
        <f t="array" ref="N24">IF(J24="","",_xlfn.XLOOKUP(H24&amp;J24,'Emission Factors'!$M$353:$M$382&amp;'Emission Factors'!$U$353:$U$382,'Emission Factors'!$T$353:$T$382)*M24)</f>
        <v>0.20805644888053693</v>
      </c>
      <c r="O24" s="305" t="str">
        <f>IF(J24="","","kgCO2e/"&amp;K24)</f>
        <v>kgCO2e/km</v>
      </c>
      <c r="P24" s="129">
        <f t="shared" ref="P24:P25" si="0">IF(ISBLANK(I24)=TRUE,"",IF(ISBLANK(N24)=TRUE,"",I24*N24)/1000)</f>
        <v>1.0402822444026847</v>
      </c>
      <c r="Q24" s="303" t="str">
        <f>IF(J24="","",_xlfn.XLOOKUP(H24,'Emission Factors'!$M:$M,'Emission Factors'!$W:$W))</f>
        <v>UK Government (BEIS) Greenhouse gas reporting: conversion factors (2023) - Business travel- land - Taxis - Regular Taxi</v>
      </c>
      <c r="R24" s="185"/>
      <c r="S24" s="67"/>
      <c r="T24" s="303" t="str">
        <f>K24</f>
        <v>km</v>
      </c>
      <c r="U24" s="303" t="str" cm="1">
        <f t="array" ref="U24">IF(J24="","",_xlfn.XLOOKUP(G24&amp;K24,'Emission Factors'!$K$432:$K$787&amp;'Emission Factors'!$U$432:$U$787,'Emission Factors'!$U$432:$U$787))</f>
        <v>km</v>
      </c>
      <c r="V24" s="332">
        <f>IFERROR(IF(J24="","",INDEX(Conversions!$C$4:$I$10,MATCH($T24,Conversions!$B$4:$B$10,0),MATCH($U24,Conversions!$C$3:$I$3,0))),1)</f>
        <v>1</v>
      </c>
      <c r="W24" s="309">
        <f>IF(J24="","",_xlfn.XLOOKUP(H24,'Emission Factors'!$M$432:$M$787,'Emission Factors'!$S$432:$S$787)*V24)</f>
        <v>5.0849999999999999E-2</v>
      </c>
      <c r="X24" s="305" t="str">
        <f>IF(J24="","","kgCO2e/"&amp;T24)</f>
        <v>kgCO2e/km</v>
      </c>
      <c r="Y24" s="129">
        <f>IF(ISBLANK(I24)=TRUE,"",IF(ISBLANK(W24)=TRUE,"",I24*W24)/1000)</f>
        <v>0.25424999999999998</v>
      </c>
      <c r="Z24" s="303" t="str">
        <f>IF(J24="","",_xlfn.XLOOKUP(H24,'Emission Factors'!$M$432:$M$787,'Emission Factors'!$W$432:$W$787))</f>
        <v>UK Government (BEIS) Greenhouse gas reporting: conversion factors (2023) - WTT - Passenger vehs &amp; travel - WTT - taxis - land - Regular taxi</v>
      </c>
      <c r="AA24" s="67"/>
      <c r="AB24" s="151"/>
    </row>
    <row r="25" spans="1:28">
      <c r="A25" s="71" t="s">
        <v>184</v>
      </c>
      <c r="B25" s="166"/>
      <c r="C25" s="173"/>
      <c r="D25" s="95" t="s">
        <v>260</v>
      </c>
      <c r="E25" s="96" t="s">
        <v>265</v>
      </c>
      <c r="F25" s="95" t="s">
        <v>266</v>
      </c>
      <c r="G25" s="95" t="s">
        <v>267</v>
      </c>
      <c r="H25" s="97" t="str">
        <f>G25&amp;F25</f>
        <v>Long-haul - to/from UK - Business class - with RFAir Travel</v>
      </c>
      <c r="I25" s="98">
        <v>1000</v>
      </c>
      <c r="J25" s="95" t="s">
        <v>268</v>
      </c>
      <c r="K25" s="97" t="str">
        <f t="shared" ref="K25" si="1">IF(J25="","",J25)</f>
        <v>passenger.km</v>
      </c>
      <c r="L25" s="303" t="str" cm="1">
        <f t="array" ref="L25">IF(J25="","",_xlfn.XLOOKUP(H25&amp;J25,'Emission Factors'!$M$353:$M$382&amp;'Emission Factors'!$U$353:$U$382,'Emission Factors'!$U$353:$U$382))</f>
        <v>passenger.km</v>
      </c>
      <c r="M25" s="305">
        <f>IFERROR(IF(J25="","",INDEX(Conversions!$C$4:$I$10,MATCH($K25,Conversions!$B$4:$B$10,0),MATCH($L25,Conversions!$C$3:$I$3,0))),1)</f>
        <v>1</v>
      </c>
      <c r="N25" s="309" cm="1">
        <f t="array" ref="N25">IF(J25="","",_xlfn.XLOOKUP(H25&amp;J25,'Emission Factors'!$M$353:$M$382&amp;'Emission Factors'!$U$353:$U$382,'Emission Factors'!$T$353:$T$382)*M25)</f>
        <v>0.58028693020134225</v>
      </c>
      <c r="O25" s="305" t="str">
        <f t="shared" ref="O25" si="2">IF(J25="","","kgCO2e/"&amp;K25)</f>
        <v>kgCO2e/passenger.km</v>
      </c>
      <c r="P25" s="129">
        <f t="shared" si="0"/>
        <v>0.58028693020134225</v>
      </c>
      <c r="Q25" s="303" t="str">
        <f>IF(J25="","",_xlfn.XLOOKUP(H25,'Emission Factors'!$M:$M,'Emission Factors'!$W:$W))</f>
        <v>UK Government (BEIS) Greenhouse gas reporting: conversion factors (2023) - Business travel- air - Flights - Long-haul - to/from UK - Business class - with RF</v>
      </c>
      <c r="R25" s="185"/>
      <c r="S25" s="67"/>
      <c r="T25" s="303" t="str">
        <f t="shared" ref="T25" si="3">K25</f>
        <v>passenger.km</v>
      </c>
      <c r="U25" s="303" t="str" cm="1">
        <f t="array" ref="U25">IF(J25="","",_xlfn.XLOOKUP(G25&amp;K25,'Emission Factors'!$K$432:$K$787&amp;'Emission Factors'!$U$432:$U$787,'Emission Factors'!$U$432:$U$787))</f>
        <v>passenger.km</v>
      </c>
      <c r="V25" s="332">
        <f>IFERROR(IF(J25="","",INDEX(Conversions!$C$4:$I$10,MATCH($T25,Conversions!$B$4:$B$10,0),MATCH($U25,Conversions!$C$3:$I$3,0))),1)</f>
        <v>1</v>
      </c>
      <c r="W25" s="309">
        <f>IF(J25="","",_xlfn.XLOOKUP(H25,'Emission Factors'!$M$432:$M$787,'Emission Factors'!$S$432:$S$787)*V25)</f>
        <v>4.6960000000000002E-2</v>
      </c>
      <c r="X25" s="305" t="str">
        <f t="shared" ref="X25" si="4">IF(J25="","","kgCO2e/"&amp;T25)</f>
        <v>kgCO2e/passenger.km</v>
      </c>
      <c r="Y25" s="129">
        <f>IF(ISBLANK(I25)=TRUE,"",IF(ISBLANK(W25)=TRUE,"",I25*W25)/1000)</f>
        <v>4.6960000000000002E-2</v>
      </c>
      <c r="Z25" s="303" t="str">
        <f>IF(J25="","",_xlfn.XLOOKUP(H25,'Emission Factors'!$M$432:$M$787,'Emission Factors'!$W$432:$W$787))</f>
        <v>UK Government (BEIS) Greenhouse gas reporting: conversion factors (2023) - WTT - Business Travel - WTT - flights - air - Long-haul - to/from UK - Business class - with RF</v>
      </c>
      <c r="AA25" s="67"/>
      <c r="AB25" s="151"/>
    </row>
    <row r="26" spans="1:28">
      <c r="A26" s="71" t="s">
        <v>146</v>
      </c>
      <c r="B26" s="166"/>
      <c r="C26" s="173"/>
      <c r="D26" s="67"/>
      <c r="E26" s="67"/>
      <c r="F26" s="67"/>
      <c r="G26" s="67"/>
      <c r="H26" s="67"/>
      <c r="I26" s="67"/>
      <c r="J26" s="67"/>
      <c r="K26" s="67"/>
      <c r="L26" s="67"/>
      <c r="M26" s="67"/>
      <c r="N26" s="67"/>
      <c r="O26" s="67"/>
      <c r="P26" s="67"/>
      <c r="Q26" s="67"/>
      <c r="R26" s="67"/>
      <c r="S26" s="67"/>
      <c r="T26" s="67"/>
      <c r="U26" s="67"/>
      <c r="V26" s="67"/>
      <c r="W26" s="67"/>
      <c r="X26" s="67"/>
      <c r="Y26" s="67"/>
      <c r="Z26" s="67"/>
      <c r="AA26" s="67"/>
      <c r="AB26" s="151"/>
    </row>
    <row r="27" spans="1:28" ht="15.6" customHeight="1">
      <c r="A27" s="71" t="s">
        <v>115</v>
      </c>
      <c r="B27" s="166"/>
      <c r="C27" s="173"/>
      <c r="D27" s="336" t="str">
        <f>'Organisation Details'!I24</f>
        <v>Fyritøka</v>
      </c>
      <c r="E27" s="10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151"/>
    </row>
    <row r="28" spans="1:28" ht="17.25" customHeight="1">
      <c r="A28" s="71" t="s">
        <v>131</v>
      </c>
      <c r="B28" s="166"/>
      <c r="C28" s="173"/>
      <c r="D28" s="67"/>
      <c r="E28" s="67"/>
      <c r="F28" s="67"/>
      <c r="G28" s="67"/>
      <c r="H28" s="67"/>
      <c r="I28" s="67"/>
      <c r="J28" s="67"/>
      <c r="K28" s="67"/>
      <c r="L28" s="67"/>
      <c r="M28" s="67"/>
      <c r="N28" s="67"/>
      <c r="O28" s="67"/>
      <c r="P28" s="94"/>
      <c r="Q28" s="67"/>
      <c r="R28" s="67"/>
      <c r="S28" s="67"/>
      <c r="T28" s="67"/>
      <c r="U28" s="67"/>
      <c r="V28" s="67"/>
      <c r="W28" s="67"/>
      <c r="X28" s="67"/>
      <c r="Y28" s="67"/>
      <c r="Z28" s="67"/>
      <c r="AA28" s="67"/>
      <c r="AB28" s="151"/>
    </row>
    <row r="29" spans="1:28" ht="30" customHeight="1">
      <c r="B29" s="166"/>
      <c r="C29" s="173"/>
      <c r="D29" s="437" t="str">
        <f>IF($A$2="English",_xlfn.XLOOKUP($A$27,Descriptions!$A:$A,Descriptions!$B:$B),_xlfn.XLOOKUP($A$27,Descriptions!$A:$A,Descriptions!$C:$C))</f>
        <v>Talva við útlátsútrokningum</v>
      </c>
      <c r="E29" s="437"/>
      <c r="F29" s="437"/>
      <c r="G29" s="437"/>
      <c r="H29" s="437"/>
      <c r="I29" s="437"/>
      <c r="J29" s="437"/>
      <c r="K29" s="437"/>
      <c r="L29" s="437"/>
      <c r="M29" s="437"/>
      <c r="N29" s="437"/>
      <c r="O29" s="437"/>
      <c r="P29" s="437"/>
      <c r="Q29" s="437"/>
      <c r="R29" s="437"/>
      <c r="S29" s="67"/>
      <c r="T29" s="67"/>
      <c r="U29" s="67"/>
      <c r="V29" s="67"/>
      <c r="W29" s="67"/>
      <c r="X29" s="67"/>
      <c r="Y29" s="67"/>
      <c r="Z29" s="67"/>
      <c r="AA29" s="67"/>
      <c r="AB29" s="151"/>
    </row>
    <row r="30" spans="1:28" ht="30" customHeight="1">
      <c r="B30" s="166"/>
      <c r="C30" s="173"/>
      <c r="D30" s="331" t="str">
        <f>D23</f>
        <v>Fasilitetur/Ogn og staðseting</v>
      </c>
      <c r="E30" s="331" t="str">
        <f t="shared" ref="E30:Z30" si="5">E23</f>
        <v>Virksemi</v>
      </c>
      <c r="F30" s="331" t="str">
        <f t="shared" si="5"/>
        <v>Flutningsháttur</v>
      </c>
      <c r="G30" s="331" t="str">
        <f t="shared" si="5"/>
        <v>Útlátskelda</v>
      </c>
      <c r="H30" s="331" t="str">
        <f t="shared" si="5"/>
        <v>Concat</v>
      </c>
      <c r="I30" s="331" t="str">
        <f t="shared" si="5"/>
        <v>Nøgd</v>
      </c>
      <c r="J30" s="331" t="str">
        <f t="shared" si="5"/>
        <v>Eindir</v>
      </c>
      <c r="K30" s="331" t="str">
        <f t="shared" si="5"/>
        <v>Input Unit</v>
      </c>
      <c r="L30" s="331" t="str">
        <f t="shared" si="5"/>
        <v>Source Emission Factor Unit</v>
      </c>
      <c r="M30" s="331" t="str">
        <f t="shared" si="5"/>
        <v>Conversion Factor</v>
      </c>
      <c r="N30" s="331" t="str">
        <f t="shared" si="5"/>
        <v>Útlátsfaktorur</v>
      </c>
      <c r="O30" s="331" t="str">
        <f t="shared" si="5"/>
        <v>Útlátsfaktorur Eind</v>
      </c>
      <c r="P30" s="331" t="str">
        <f t="shared" si="5"/>
        <v>Útlát av vakstrarhúsgassi (tons av CO2e)</v>
      </c>
      <c r="Q30" s="331" t="str">
        <f t="shared" si="5"/>
        <v>Kelda Útlátsfaktorur</v>
      </c>
      <c r="R30" s="331" t="str">
        <f t="shared" si="5"/>
        <v>Viðmerking frá brúkara</v>
      </c>
      <c r="S30" s="67"/>
      <c r="T30" s="331" t="str">
        <f t="shared" si="5"/>
        <v>Input Unit</v>
      </c>
      <c r="U30" s="331" t="str">
        <f t="shared" si="5"/>
        <v>Source Emission Factor Unit</v>
      </c>
      <c r="V30" s="331" t="str">
        <f t="shared" si="5"/>
        <v>Conversion Factor</v>
      </c>
      <c r="W30" s="331" t="str">
        <f t="shared" si="5"/>
        <v>Útlátsfaktorur</v>
      </c>
      <c r="X30" s="331" t="str">
        <f t="shared" si="5"/>
        <v>Útlátsfaktorur Eind</v>
      </c>
      <c r="Y30" s="331" t="str">
        <f t="shared" si="5"/>
        <v>Útlát av vakstrarhúsgassi (tons av CO2e)</v>
      </c>
      <c r="Z30" s="331" t="str">
        <f t="shared" si="5"/>
        <v>Kelda Útlátsfaktorur</v>
      </c>
      <c r="AA30" s="67"/>
      <c r="AB30" s="151"/>
    </row>
    <row r="31" spans="1:28">
      <c r="B31" s="166"/>
      <c r="C31" s="173"/>
      <c r="D31" s="103"/>
      <c r="E31" s="104"/>
      <c r="F31" s="103"/>
      <c r="G31" s="103"/>
      <c r="H31" s="186" t="str">
        <f t="shared" ref="H31:H61" si="6">G31&amp;F31</f>
        <v/>
      </c>
      <c r="I31" s="143"/>
      <c r="J31" s="103"/>
      <c r="K31" s="187" t="str">
        <f>IF(J31="","",J31)</f>
        <v/>
      </c>
      <c r="L31" s="340" t="str" cm="1">
        <f t="array" ref="L31">IF(J31="","",_xlfn.XLOOKUP(H31&amp;J31,'Emission Factors'!$M$353:$M$382&amp;'Emission Factors'!$U$353:$U$382,'Emission Factors'!$U$353:$U$382))</f>
        <v/>
      </c>
      <c r="M31" s="341" t="str">
        <f>IFERROR(IF(J31="","",INDEX(Conversions!$C$4:$I$10,MATCH($K31,Conversions!$B$4:$B$10,0),MATCH($L31,Conversions!$C$3:$I$3,0))),1)</f>
        <v/>
      </c>
      <c r="N31" s="342" t="str" cm="1">
        <f t="array" ref="N31">IF(J31="","",_xlfn.XLOOKUP(H31&amp;J31,'Emission Factors'!$M$353:$M$382&amp;'Emission Factors'!$U$353:$U$382,'Emission Factors'!$T$353:$T$382)*M31)</f>
        <v/>
      </c>
      <c r="O31" s="341" t="str">
        <f>IF(J31="","","kgCO2e/"&amp;K31)</f>
        <v/>
      </c>
      <c r="P31" s="144" t="str">
        <f t="shared" ref="P31" si="7">IF(ISBLANK(I31)=TRUE,"",IF(ISBLANK(N31)=TRUE,"",I31*N31)/1000)</f>
        <v/>
      </c>
      <c r="Q31" s="340" t="str">
        <f>IF(J31="","",_xlfn.XLOOKUP(H31,'Emission Factors'!$M:$M,'Emission Factors'!$W:$W))</f>
        <v/>
      </c>
      <c r="R31" s="188"/>
      <c r="S31" s="67"/>
      <c r="T31" s="303" t="str">
        <f>K31</f>
        <v/>
      </c>
      <c r="U31" s="303" t="str" cm="1">
        <f t="array" ref="U31">IF(J31="","",_xlfn.XLOOKUP(G31&amp;K31,'Emission Factors'!$K$432:$K$787&amp;'Emission Factors'!$U$432:$U$787,'Emission Factors'!$U$432:$U$787))</f>
        <v/>
      </c>
      <c r="V31" s="332" t="str">
        <f>IFERROR(IF(J31="","",INDEX(Conversions!$C$4:$I$10,MATCH($T31,Conversions!$B$4:$B$10,0),MATCH($U31,Conversions!$C$3:$I$3,0))),1)</f>
        <v/>
      </c>
      <c r="W31" s="309" t="str">
        <f>IF(J31="","",_xlfn.XLOOKUP(H31,'Emission Factors'!$M$432:$M$787,'Emission Factors'!$S$432:$S$787)*V31)</f>
        <v/>
      </c>
      <c r="X31" s="305" t="str">
        <f>IF(J31="","","kgCO2e/"&amp;T31)</f>
        <v/>
      </c>
      <c r="Y31" s="129" t="str">
        <f>IF(ISBLANK(I31)=TRUE,"",IF(ISBLANK(W31)=TRUE,"",I31*W31)/1000)</f>
        <v/>
      </c>
      <c r="Z31" s="303" t="str">
        <f>IF(J31="","",_xlfn.XLOOKUP(H31,'Emission Factors'!$M$432:$M$787,'Emission Factors'!$W$432:$W$787))</f>
        <v/>
      </c>
      <c r="AA31" s="67"/>
      <c r="AB31" s="151"/>
    </row>
    <row r="32" spans="1:28">
      <c r="B32" s="166"/>
      <c r="C32" s="173"/>
      <c r="D32" s="103"/>
      <c r="E32" s="104"/>
      <c r="F32" s="103"/>
      <c r="G32" s="103"/>
      <c r="H32" s="186" t="str">
        <f t="shared" si="6"/>
        <v/>
      </c>
      <c r="I32" s="143"/>
      <c r="J32" s="103"/>
      <c r="K32" s="187" t="str">
        <f>IF(J32="","",J32)</f>
        <v/>
      </c>
      <c r="L32" s="340" t="str" cm="1">
        <f t="array" ref="L32">IF(J32="","",_xlfn.XLOOKUP(H32&amp;J32,'Emission Factors'!$M$353:$M$382&amp;'Emission Factors'!$U$353:$U$382,'Emission Factors'!$U$353:$U$382))</f>
        <v/>
      </c>
      <c r="M32" s="341" t="str">
        <f>IFERROR(IF(J32="","",INDEX(Conversions!$C$4:$I$10,MATCH($K32,Conversions!$B$4:$B$10,0),MATCH($L32,Conversions!$C$3:$I$3,0))),1)</f>
        <v/>
      </c>
      <c r="N32" s="342" t="str" cm="1">
        <f t="array" ref="N32">IF(J32="","",_xlfn.XLOOKUP(H32&amp;J32,'Emission Factors'!$M$353:$M$382&amp;'Emission Factors'!$U$353:$U$382,'Emission Factors'!$T$353:$T$382)*M32)</f>
        <v/>
      </c>
      <c r="O32" s="341" t="str">
        <f>IF(J32="","","kgCO2e/"&amp;K32)</f>
        <v/>
      </c>
      <c r="P32" s="144" t="str">
        <f t="shared" ref="P32:P61" si="8">IF(ISBLANK(I32)=TRUE,"",IF(ISBLANK(N32)=TRUE,"",I32*N32)/1000)</f>
        <v/>
      </c>
      <c r="Q32" s="340" t="str">
        <f>IF(J32="","",_xlfn.XLOOKUP(H32,'Emission Factors'!$M:$M,'Emission Factors'!$W:$W))</f>
        <v/>
      </c>
      <c r="R32" s="188"/>
      <c r="S32" s="67"/>
      <c r="T32" s="303" t="str">
        <f t="shared" ref="T32:T61" si="9">K32</f>
        <v/>
      </c>
      <c r="U32" s="303" t="str" cm="1">
        <f t="array" ref="U32">IF(J32="","",_xlfn.XLOOKUP(G32&amp;K32,'Emission Factors'!$K$432:$K$787&amp;'Emission Factors'!$U$432:$U$787,'Emission Factors'!$U$432:$U$787))</f>
        <v/>
      </c>
      <c r="V32" s="332" t="str">
        <f>IFERROR(IF(J32="","",INDEX(Conversions!$C$4:$I$10,MATCH($T32,Conversions!$B$4:$B$10,0),MATCH($U32,Conversions!$C$3:$I$3,0))),1)</f>
        <v/>
      </c>
      <c r="W32" s="309" t="str">
        <f>IF(J32="","",_xlfn.XLOOKUP(H32,'Emission Factors'!$M$432:$M$787,'Emission Factors'!$S$432:$S$787)*V32)</f>
        <v/>
      </c>
      <c r="X32" s="305" t="str">
        <f>IF(J32="","","kgCO2e/"&amp;T32)</f>
        <v/>
      </c>
      <c r="Y32" s="129" t="str">
        <f t="shared" ref="Y32:Y61" si="10">IF(ISBLANK(I32)=TRUE,"",IF(ISBLANK(W32)=TRUE,"",I32*W32)/1000)</f>
        <v/>
      </c>
      <c r="Z32" s="303" t="str">
        <f>IF(J32="","",_xlfn.XLOOKUP(H32,'Emission Factors'!$M$432:$M$787,'Emission Factors'!$W$432:$W$787))</f>
        <v/>
      </c>
      <c r="AA32" s="67"/>
      <c r="AB32" s="151"/>
    </row>
    <row r="33" spans="2:28">
      <c r="B33" s="166"/>
      <c r="C33" s="173"/>
      <c r="D33" s="103"/>
      <c r="E33" s="104"/>
      <c r="F33" s="103"/>
      <c r="G33" s="103"/>
      <c r="H33" s="186" t="str">
        <f t="shared" si="6"/>
        <v/>
      </c>
      <c r="I33" s="143"/>
      <c r="J33" s="103"/>
      <c r="K33" s="187" t="str">
        <f t="shared" ref="K33:K61" si="11">IF(J33="","",J33)</f>
        <v/>
      </c>
      <c r="L33" s="340" t="str" cm="1">
        <f t="array" ref="L33">IF(J33="","",_xlfn.XLOOKUP(H33&amp;J33,'Emission Factors'!$M$353:$M$382&amp;'Emission Factors'!$U$353:$U$382,'Emission Factors'!$U$353:$U$382))</f>
        <v/>
      </c>
      <c r="M33" s="341" t="str">
        <f>IFERROR(IF(J33="","",INDEX(Conversions!$C$4:$I$10,MATCH($K33,Conversions!$B$4:$B$10,0),MATCH($L33,Conversions!$C$3:$I$3,0))),1)</f>
        <v/>
      </c>
      <c r="N33" s="342" t="str" cm="1">
        <f t="array" ref="N33">IF(J33="","",_xlfn.XLOOKUP(H33&amp;J33,'Emission Factors'!$M$353:$M$382&amp;'Emission Factors'!$U$353:$U$382,'Emission Factors'!$T$353:$T$382)*M33)</f>
        <v/>
      </c>
      <c r="O33" s="341" t="str">
        <f t="shared" ref="O33:O61" si="12">IF(J33="","","kgCO2e/"&amp;K33)</f>
        <v/>
      </c>
      <c r="P33" s="144" t="str">
        <f t="shared" si="8"/>
        <v/>
      </c>
      <c r="Q33" s="340" t="str">
        <f>IF(J33="","",_xlfn.XLOOKUP(H33,'Emission Factors'!$M:$M,'Emission Factors'!$W:$W))</f>
        <v/>
      </c>
      <c r="R33" s="188"/>
      <c r="S33" s="67"/>
      <c r="T33" s="303" t="str">
        <f t="shared" si="9"/>
        <v/>
      </c>
      <c r="U33" s="303" t="str" cm="1">
        <f t="array" ref="U33">IF(J33="","",_xlfn.XLOOKUP(G33&amp;K33,'Emission Factors'!$K$432:$K$787&amp;'Emission Factors'!$U$432:$U$787,'Emission Factors'!$U$432:$U$787))</f>
        <v/>
      </c>
      <c r="V33" s="332" t="str">
        <f>IFERROR(IF(J33="","",INDEX(Conversions!$C$4:$I$10,MATCH($T33,Conversions!$B$4:$B$10,0),MATCH($U33,Conversions!$C$3:$I$3,0))),1)</f>
        <v/>
      </c>
      <c r="W33" s="309" t="str">
        <f>IF(J33="","",_xlfn.XLOOKUP(H33,'Emission Factors'!$M$432:$M$787,'Emission Factors'!$S$432:$S$787)*V33)</f>
        <v/>
      </c>
      <c r="X33" s="305" t="str">
        <f t="shared" ref="X33:X61" si="13">IF(J33="","","kgCO2e/"&amp;T33)</f>
        <v/>
      </c>
      <c r="Y33" s="129" t="str">
        <f t="shared" si="10"/>
        <v/>
      </c>
      <c r="Z33" s="303" t="str">
        <f>IF(J33="","",_xlfn.XLOOKUP(H33,'Emission Factors'!$M$432:$M$787,'Emission Factors'!$W$432:$W$787))</f>
        <v/>
      </c>
      <c r="AA33" s="67"/>
      <c r="AB33" s="151"/>
    </row>
    <row r="34" spans="2:28">
      <c r="B34" s="166"/>
      <c r="C34" s="173"/>
      <c r="D34" s="103"/>
      <c r="E34" s="104"/>
      <c r="F34" s="103"/>
      <c r="G34" s="103"/>
      <c r="H34" s="186" t="str">
        <f t="shared" si="6"/>
        <v/>
      </c>
      <c r="I34" s="143"/>
      <c r="J34" s="103"/>
      <c r="K34" s="187" t="str">
        <f t="shared" si="11"/>
        <v/>
      </c>
      <c r="L34" s="340" t="str" cm="1">
        <f t="array" ref="L34">IF(J34="","",_xlfn.XLOOKUP(H34&amp;J34,'Emission Factors'!$M$353:$M$382&amp;'Emission Factors'!$U$353:$U$382,'Emission Factors'!$U$353:$U$382))</f>
        <v/>
      </c>
      <c r="M34" s="341" t="str">
        <f>IFERROR(IF(J34="","",INDEX(Conversions!$C$4:$I$10,MATCH($K34,Conversions!$B$4:$B$10,0),MATCH($L34,Conversions!$C$3:$I$3,0))),1)</f>
        <v/>
      </c>
      <c r="N34" s="342" t="str" cm="1">
        <f t="array" ref="N34">IF(J34="","",_xlfn.XLOOKUP(H34&amp;J34,'Emission Factors'!$M$353:$M$382&amp;'Emission Factors'!$U$353:$U$382,'Emission Factors'!$T$353:$T$382)*M34)</f>
        <v/>
      </c>
      <c r="O34" s="341" t="str">
        <f t="shared" si="12"/>
        <v/>
      </c>
      <c r="P34" s="144" t="str">
        <f t="shared" si="8"/>
        <v/>
      </c>
      <c r="Q34" s="340" t="str">
        <f>IF(J34="","",_xlfn.XLOOKUP(H34,'Emission Factors'!$M:$M,'Emission Factors'!$W:$W))</f>
        <v/>
      </c>
      <c r="R34" s="188"/>
      <c r="S34" s="67"/>
      <c r="T34" s="303" t="str">
        <f t="shared" si="9"/>
        <v/>
      </c>
      <c r="U34" s="303" t="str" cm="1">
        <f t="array" ref="U34">IF(J34="","",_xlfn.XLOOKUP(G34&amp;K34,'Emission Factors'!$K$432:$K$787&amp;'Emission Factors'!$U$432:$U$787,'Emission Factors'!$U$432:$U$787))</f>
        <v/>
      </c>
      <c r="V34" s="332" t="str">
        <f>IFERROR(IF(J34="","",INDEX(Conversions!$C$4:$I$10,MATCH($T34,Conversions!$B$4:$B$10,0),MATCH($U34,Conversions!$C$3:$I$3,0))),1)</f>
        <v/>
      </c>
      <c r="W34" s="309" t="str">
        <f>IF(J34="","",_xlfn.XLOOKUP(H34,'Emission Factors'!$M$432:$M$787,'Emission Factors'!$S$432:$S$787)*V34)</f>
        <v/>
      </c>
      <c r="X34" s="305" t="str">
        <f t="shared" si="13"/>
        <v/>
      </c>
      <c r="Y34" s="129" t="str">
        <f t="shared" si="10"/>
        <v/>
      </c>
      <c r="Z34" s="303" t="str">
        <f>IF(J34="","",_xlfn.XLOOKUP(H34,'Emission Factors'!$M$432:$M$787,'Emission Factors'!$W$432:$W$787))</f>
        <v/>
      </c>
      <c r="AA34" s="67"/>
      <c r="AB34" s="151"/>
    </row>
    <row r="35" spans="2:28">
      <c r="B35" s="166"/>
      <c r="C35" s="173"/>
      <c r="D35" s="103"/>
      <c r="E35" s="104"/>
      <c r="F35" s="103"/>
      <c r="G35" s="103"/>
      <c r="H35" s="186" t="str">
        <f t="shared" si="6"/>
        <v/>
      </c>
      <c r="I35" s="143"/>
      <c r="J35" s="103"/>
      <c r="K35" s="187" t="str">
        <f t="shared" si="11"/>
        <v/>
      </c>
      <c r="L35" s="340" t="str" cm="1">
        <f t="array" ref="L35">IF(J35="","",_xlfn.XLOOKUP(H35&amp;J35,'Emission Factors'!$M$353:$M$382&amp;'Emission Factors'!$U$353:$U$382,'Emission Factors'!$U$353:$U$382))</f>
        <v/>
      </c>
      <c r="M35" s="341" t="str">
        <f>IFERROR(IF(J35="","",INDEX(Conversions!$C$4:$I$10,MATCH($K35,Conversions!$B$4:$B$10,0),MATCH($L35,Conversions!$C$3:$I$3,0))),1)</f>
        <v/>
      </c>
      <c r="N35" s="342" t="str" cm="1">
        <f t="array" ref="N35">IF(J35="","",_xlfn.XLOOKUP(H35&amp;J35,'Emission Factors'!$M$353:$M$382&amp;'Emission Factors'!$U$353:$U$382,'Emission Factors'!$T$353:$T$382)*M35)</f>
        <v/>
      </c>
      <c r="O35" s="341" t="str">
        <f t="shared" si="12"/>
        <v/>
      </c>
      <c r="P35" s="144" t="str">
        <f t="shared" si="8"/>
        <v/>
      </c>
      <c r="Q35" s="340" t="str">
        <f>IF(J35="","",_xlfn.XLOOKUP(H35,'Emission Factors'!$M:$M,'Emission Factors'!$W:$W))</f>
        <v/>
      </c>
      <c r="R35" s="188"/>
      <c r="S35" s="67"/>
      <c r="T35" s="303" t="str">
        <f t="shared" si="9"/>
        <v/>
      </c>
      <c r="U35" s="303" t="str" cm="1">
        <f t="array" ref="U35">IF(J35="","",_xlfn.XLOOKUP(G35&amp;K35,'Emission Factors'!$K$432:$K$787&amp;'Emission Factors'!$U$432:$U$787,'Emission Factors'!$U$432:$U$787))</f>
        <v/>
      </c>
      <c r="V35" s="332" t="str">
        <f>IFERROR(IF(J35="","",INDEX(Conversions!$C$4:$I$10,MATCH($T35,Conversions!$B$4:$B$10,0),MATCH($U35,Conversions!$C$3:$I$3,0))),1)</f>
        <v/>
      </c>
      <c r="W35" s="309" t="str">
        <f>IF(J35="","",_xlfn.XLOOKUP(H35,'Emission Factors'!$M$432:$M$787,'Emission Factors'!$S$432:$S$787)*V35)</f>
        <v/>
      </c>
      <c r="X35" s="305" t="str">
        <f t="shared" si="13"/>
        <v/>
      </c>
      <c r="Y35" s="129" t="str">
        <f t="shared" si="10"/>
        <v/>
      </c>
      <c r="Z35" s="303" t="str">
        <f>IF(J35="","",_xlfn.XLOOKUP(H35,'Emission Factors'!$M$432:$M$787,'Emission Factors'!$W$432:$W$787))</f>
        <v/>
      </c>
      <c r="AA35" s="67"/>
      <c r="AB35" s="151"/>
    </row>
    <row r="36" spans="2:28">
      <c r="B36" s="166"/>
      <c r="C36" s="173"/>
      <c r="D36" s="103"/>
      <c r="E36" s="104"/>
      <c r="F36" s="103"/>
      <c r="G36" s="103"/>
      <c r="H36" s="186" t="str">
        <f>G36&amp;F36</f>
        <v/>
      </c>
      <c r="I36" s="143"/>
      <c r="J36" s="103"/>
      <c r="K36" s="187" t="str">
        <f t="shared" si="11"/>
        <v/>
      </c>
      <c r="L36" s="340" t="str" cm="1">
        <f t="array" ref="L36">IF(J36="","",_xlfn.XLOOKUP(H36&amp;J36,'Emission Factors'!$M$353:$M$382&amp;'Emission Factors'!$U$353:$U$382,'Emission Factors'!$U$353:$U$382))</f>
        <v/>
      </c>
      <c r="M36" s="341" t="str">
        <f>IFERROR(IF(J36="","",INDEX(Conversions!$C$4:$I$10,MATCH($K36,Conversions!$B$4:$B$10,0),MATCH($L36,Conversions!$C$3:$I$3,0))),1)</f>
        <v/>
      </c>
      <c r="N36" s="342" t="str" cm="1">
        <f t="array" ref="N36">IF(J36="","",_xlfn.XLOOKUP(H36&amp;J36,'Emission Factors'!$M$353:$M$382&amp;'Emission Factors'!$U$353:$U$382,'Emission Factors'!$T$353:$T$382)*M36)</f>
        <v/>
      </c>
      <c r="O36" s="341" t="str">
        <f t="shared" si="12"/>
        <v/>
      </c>
      <c r="P36" s="144" t="str">
        <f t="shared" si="8"/>
        <v/>
      </c>
      <c r="Q36" s="340" t="str">
        <f>IF(J36="","",_xlfn.XLOOKUP(H36,'Emission Factors'!$M:$M,'Emission Factors'!$W:$W))</f>
        <v/>
      </c>
      <c r="R36" s="188"/>
      <c r="S36" s="67"/>
      <c r="T36" s="303" t="str">
        <f t="shared" si="9"/>
        <v/>
      </c>
      <c r="U36" s="303" t="str" cm="1">
        <f t="array" ref="U36">IF(J36="","",_xlfn.XLOOKUP(G36&amp;K36,'Emission Factors'!$K$432:$K$787&amp;'Emission Factors'!$U$432:$U$787,'Emission Factors'!$U$432:$U$787))</f>
        <v/>
      </c>
      <c r="V36" s="332" t="str">
        <f>IFERROR(IF(J36="","",INDEX(Conversions!$C$4:$I$10,MATCH($T36,Conversions!$B$4:$B$10,0),MATCH($U36,Conversions!$C$3:$I$3,0))),1)</f>
        <v/>
      </c>
      <c r="W36" s="309" t="str">
        <f>IF(J36="","",_xlfn.XLOOKUP(H36,'Emission Factors'!$M$432:$M$787,'Emission Factors'!$S$432:$S$787)*V36)</f>
        <v/>
      </c>
      <c r="X36" s="305" t="str">
        <f t="shared" si="13"/>
        <v/>
      </c>
      <c r="Y36" s="129" t="str">
        <f t="shared" si="10"/>
        <v/>
      </c>
      <c r="Z36" s="303" t="str">
        <f>IF(J36="","",_xlfn.XLOOKUP(H36,'Emission Factors'!$M$432:$M$787,'Emission Factors'!$W$432:$W$787))</f>
        <v/>
      </c>
      <c r="AA36" s="67"/>
      <c r="AB36" s="151"/>
    </row>
    <row r="37" spans="2:28">
      <c r="B37" s="166"/>
      <c r="C37" s="173"/>
      <c r="D37" s="103"/>
      <c r="E37" s="104"/>
      <c r="F37" s="103"/>
      <c r="G37" s="103"/>
      <c r="H37" s="186" t="str">
        <f>G37&amp;F37</f>
        <v/>
      </c>
      <c r="I37" s="143"/>
      <c r="J37" s="103"/>
      <c r="K37" s="187" t="str">
        <f t="shared" si="11"/>
        <v/>
      </c>
      <c r="L37" s="340" t="str" cm="1">
        <f t="array" ref="L37">IF(J37="","",_xlfn.XLOOKUP(H37&amp;J37,'Emission Factors'!$M$353:$M$382&amp;'Emission Factors'!$U$353:$U$382,'Emission Factors'!$U$353:$U$382))</f>
        <v/>
      </c>
      <c r="M37" s="341" t="str">
        <f>IFERROR(IF(J37="","",INDEX(Conversions!$C$4:$I$10,MATCH($K37,Conversions!$B$4:$B$10,0),MATCH($L37,Conversions!$C$3:$I$3,0))),1)</f>
        <v/>
      </c>
      <c r="N37" s="342" t="str" cm="1">
        <f t="array" ref="N37">IF(J37="","",_xlfn.XLOOKUP(H37&amp;J37,'Emission Factors'!$M$353:$M$382&amp;'Emission Factors'!$U$353:$U$382,'Emission Factors'!$T$353:$T$382)*M37)</f>
        <v/>
      </c>
      <c r="O37" s="341" t="str">
        <f t="shared" si="12"/>
        <v/>
      </c>
      <c r="P37" s="144" t="str">
        <f t="shared" si="8"/>
        <v/>
      </c>
      <c r="Q37" s="340" t="str">
        <f>IF(J37="","",_xlfn.XLOOKUP(H37,'Emission Factors'!$M:$M,'Emission Factors'!$W:$W))</f>
        <v/>
      </c>
      <c r="R37" s="188"/>
      <c r="S37" s="67"/>
      <c r="T37" s="303" t="str">
        <f t="shared" si="9"/>
        <v/>
      </c>
      <c r="U37" s="303" t="str" cm="1">
        <f t="array" ref="U37">IF(J37="","",_xlfn.XLOOKUP(G37&amp;K37,'Emission Factors'!$K$432:$K$787&amp;'Emission Factors'!$U$432:$U$787,'Emission Factors'!$U$432:$U$787))</f>
        <v/>
      </c>
      <c r="V37" s="332" t="str">
        <f>IFERROR(IF(J37="","",INDEX(Conversions!$C$4:$I$10,MATCH($T37,Conversions!$B$4:$B$10,0),MATCH($U37,Conversions!$C$3:$I$3,0))),1)</f>
        <v/>
      </c>
      <c r="W37" s="309" t="str">
        <f>IF(J37="","",_xlfn.XLOOKUP(H37,'Emission Factors'!$M$432:$M$787,'Emission Factors'!$S$432:$S$787)*V37)</f>
        <v/>
      </c>
      <c r="X37" s="305" t="str">
        <f t="shared" si="13"/>
        <v/>
      </c>
      <c r="Y37" s="129" t="str">
        <f t="shared" si="10"/>
        <v/>
      </c>
      <c r="Z37" s="303" t="str">
        <f>IF(J37="","",_xlfn.XLOOKUP(H37,'Emission Factors'!$M$432:$M$787,'Emission Factors'!$W$432:$W$787))</f>
        <v/>
      </c>
      <c r="AA37" s="67"/>
      <c r="AB37" s="151"/>
    </row>
    <row r="38" spans="2:28">
      <c r="B38" s="166"/>
      <c r="C38" s="173"/>
      <c r="D38" s="103"/>
      <c r="E38" s="104"/>
      <c r="F38" s="103"/>
      <c r="G38" s="103"/>
      <c r="H38" s="186" t="str">
        <f t="shared" si="6"/>
        <v/>
      </c>
      <c r="I38" s="143"/>
      <c r="J38" s="103"/>
      <c r="K38" s="187" t="str">
        <f t="shared" si="11"/>
        <v/>
      </c>
      <c r="L38" s="340" t="str" cm="1">
        <f t="array" ref="L38">IF(J38="","",_xlfn.XLOOKUP(H38&amp;J38,'Emission Factors'!$M$353:$M$382&amp;'Emission Factors'!$U$353:$U$382,'Emission Factors'!$U$353:$U$382))</f>
        <v/>
      </c>
      <c r="M38" s="341" t="str">
        <f>IFERROR(IF(J38="","",INDEX(Conversions!$C$4:$I$10,MATCH($K38,Conversions!$B$4:$B$10,0),MATCH($L38,Conversions!$C$3:$I$3,0))),1)</f>
        <v/>
      </c>
      <c r="N38" s="342" t="str" cm="1">
        <f t="array" ref="N38">IF(J38="","",_xlfn.XLOOKUP(H38&amp;J38,'Emission Factors'!$M$353:$M$382&amp;'Emission Factors'!$U$353:$U$382,'Emission Factors'!$T$353:$T$382)*M38)</f>
        <v/>
      </c>
      <c r="O38" s="341" t="str">
        <f t="shared" si="12"/>
        <v/>
      </c>
      <c r="P38" s="144" t="str">
        <f t="shared" si="8"/>
        <v/>
      </c>
      <c r="Q38" s="340" t="str">
        <f>IF(J38="","",_xlfn.XLOOKUP(H38,'Emission Factors'!$M:$M,'Emission Factors'!$W:$W))</f>
        <v/>
      </c>
      <c r="R38" s="188"/>
      <c r="S38" s="67"/>
      <c r="T38" s="303" t="str">
        <f t="shared" si="9"/>
        <v/>
      </c>
      <c r="U38" s="303" t="str" cm="1">
        <f t="array" ref="U38">IF(J38="","",_xlfn.XLOOKUP(G38&amp;K38,'Emission Factors'!$K$432:$K$787&amp;'Emission Factors'!$U$432:$U$787,'Emission Factors'!$U$432:$U$787))</f>
        <v/>
      </c>
      <c r="V38" s="332" t="str">
        <f>IFERROR(IF(J38="","",INDEX(Conversions!$C$4:$I$10,MATCH($T38,Conversions!$B$4:$B$10,0),MATCH($U38,Conversions!$C$3:$I$3,0))),1)</f>
        <v/>
      </c>
      <c r="W38" s="309" t="str">
        <f>IF(J38="","",_xlfn.XLOOKUP(H38,'Emission Factors'!$M$432:$M$787,'Emission Factors'!$S$432:$S$787)*V38)</f>
        <v/>
      </c>
      <c r="X38" s="305" t="str">
        <f t="shared" si="13"/>
        <v/>
      </c>
      <c r="Y38" s="129" t="str">
        <f t="shared" si="10"/>
        <v/>
      </c>
      <c r="Z38" s="303" t="str">
        <f>IF(J38="","",_xlfn.XLOOKUP(H38,'Emission Factors'!$M$432:$M$787,'Emission Factors'!$W$432:$W$787))</f>
        <v/>
      </c>
      <c r="AA38" s="67"/>
      <c r="AB38" s="151"/>
    </row>
    <row r="39" spans="2:28">
      <c r="B39" s="166"/>
      <c r="C39" s="173"/>
      <c r="D39" s="103"/>
      <c r="E39" s="104"/>
      <c r="F39" s="103"/>
      <c r="G39" s="103"/>
      <c r="H39" s="186" t="str">
        <f t="shared" si="6"/>
        <v/>
      </c>
      <c r="I39" s="143"/>
      <c r="J39" s="103"/>
      <c r="K39" s="187" t="str">
        <f t="shared" si="11"/>
        <v/>
      </c>
      <c r="L39" s="340" t="str" cm="1">
        <f t="array" ref="L39">IF(J39="","",_xlfn.XLOOKUP(H39&amp;J39,'Emission Factors'!$M$353:$M$382&amp;'Emission Factors'!$U$353:$U$382,'Emission Factors'!$U$353:$U$382))</f>
        <v/>
      </c>
      <c r="M39" s="341" t="str">
        <f>IFERROR(IF(J39="","",INDEX(Conversions!$C$4:$I$10,MATCH($K39,Conversions!$B$4:$B$10,0),MATCH($L39,Conversions!$C$3:$I$3,0))),1)</f>
        <v/>
      </c>
      <c r="N39" s="342" t="str" cm="1">
        <f t="array" ref="N39">IF(J39="","",_xlfn.XLOOKUP(H39&amp;J39,'Emission Factors'!$M$353:$M$382&amp;'Emission Factors'!$U$353:$U$382,'Emission Factors'!$T$353:$T$382)*M39)</f>
        <v/>
      </c>
      <c r="O39" s="341" t="str">
        <f t="shared" si="12"/>
        <v/>
      </c>
      <c r="P39" s="144" t="str">
        <f t="shared" si="8"/>
        <v/>
      </c>
      <c r="Q39" s="340" t="str">
        <f>IF(J39="","",_xlfn.XLOOKUP(H39,'Emission Factors'!$M:$M,'Emission Factors'!$W:$W))</f>
        <v/>
      </c>
      <c r="R39" s="188"/>
      <c r="S39" s="67"/>
      <c r="T39" s="303" t="str">
        <f t="shared" si="9"/>
        <v/>
      </c>
      <c r="U39" s="303" t="str" cm="1">
        <f t="array" ref="U39">IF(J39="","",_xlfn.XLOOKUP(G39&amp;K39,'Emission Factors'!$K$432:$K$787&amp;'Emission Factors'!$U$432:$U$787,'Emission Factors'!$U$432:$U$787))</f>
        <v/>
      </c>
      <c r="V39" s="332" t="str">
        <f>IFERROR(IF(J39="","",INDEX(Conversions!$C$4:$I$10,MATCH($T39,Conversions!$B$4:$B$10,0),MATCH($U39,Conversions!$C$3:$I$3,0))),1)</f>
        <v/>
      </c>
      <c r="W39" s="309" t="str">
        <f>IF(J39="","",_xlfn.XLOOKUP(H39,'Emission Factors'!$M$432:$M$787,'Emission Factors'!$S$432:$S$787)*V39)</f>
        <v/>
      </c>
      <c r="X39" s="305" t="str">
        <f t="shared" si="13"/>
        <v/>
      </c>
      <c r="Y39" s="129" t="str">
        <f t="shared" si="10"/>
        <v/>
      </c>
      <c r="Z39" s="303" t="str">
        <f>IF(J39="","",_xlfn.XLOOKUP(H39,'Emission Factors'!$M$432:$M$787,'Emission Factors'!$W$432:$W$787))</f>
        <v/>
      </c>
      <c r="AA39" s="67"/>
      <c r="AB39" s="151"/>
    </row>
    <row r="40" spans="2:28">
      <c r="B40" s="166"/>
      <c r="C40" s="173"/>
      <c r="D40" s="103"/>
      <c r="E40" s="104"/>
      <c r="F40" s="103"/>
      <c r="G40" s="103"/>
      <c r="H40" s="186" t="str">
        <f t="shared" si="6"/>
        <v/>
      </c>
      <c r="I40" s="143"/>
      <c r="J40" s="103"/>
      <c r="K40" s="187" t="str">
        <f t="shared" si="11"/>
        <v/>
      </c>
      <c r="L40" s="340" t="str" cm="1">
        <f t="array" ref="L40">IF(J40="","",_xlfn.XLOOKUP(H40&amp;J40,'Emission Factors'!$M$353:$M$382&amp;'Emission Factors'!$U$353:$U$382,'Emission Factors'!$U$353:$U$382))</f>
        <v/>
      </c>
      <c r="M40" s="341" t="str">
        <f>IFERROR(IF(J40="","",INDEX(Conversions!$C$4:$I$10,MATCH($K40,Conversions!$B$4:$B$10,0),MATCH($L40,Conversions!$C$3:$I$3,0))),1)</f>
        <v/>
      </c>
      <c r="N40" s="342" t="str" cm="1">
        <f t="array" ref="N40">IF(J40="","",_xlfn.XLOOKUP(H40&amp;J40,'Emission Factors'!$M$353:$M$382&amp;'Emission Factors'!$U$353:$U$382,'Emission Factors'!$T$353:$T$382)*M40)</f>
        <v/>
      </c>
      <c r="O40" s="341" t="str">
        <f t="shared" si="12"/>
        <v/>
      </c>
      <c r="P40" s="144" t="str">
        <f t="shared" si="8"/>
        <v/>
      </c>
      <c r="Q40" s="340" t="str">
        <f>IF(J40="","",_xlfn.XLOOKUP(H40,'Emission Factors'!$M:$M,'Emission Factors'!$W:$W))</f>
        <v/>
      </c>
      <c r="R40" s="188"/>
      <c r="S40" s="67"/>
      <c r="T40" s="303" t="str">
        <f t="shared" si="9"/>
        <v/>
      </c>
      <c r="U40" s="303" t="str" cm="1">
        <f t="array" ref="U40">IF(J40="","",_xlfn.XLOOKUP(G40&amp;K40,'Emission Factors'!$K$432:$K$787&amp;'Emission Factors'!$U$432:$U$787,'Emission Factors'!$U$432:$U$787))</f>
        <v/>
      </c>
      <c r="V40" s="332" t="str">
        <f>IFERROR(IF(J40="","",INDEX(Conversions!$C$4:$I$10,MATCH($T40,Conversions!$B$4:$B$10,0),MATCH($U40,Conversions!$C$3:$I$3,0))),1)</f>
        <v/>
      </c>
      <c r="W40" s="309" t="str">
        <f>IF(J40="","",_xlfn.XLOOKUP(H40,'Emission Factors'!$M$432:$M$787,'Emission Factors'!$S$432:$S$787)*V40)</f>
        <v/>
      </c>
      <c r="X40" s="305" t="str">
        <f t="shared" si="13"/>
        <v/>
      </c>
      <c r="Y40" s="129" t="str">
        <f t="shared" si="10"/>
        <v/>
      </c>
      <c r="Z40" s="303" t="str">
        <f>IF(J40="","",_xlfn.XLOOKUP(H40,'Emission Factors'!$M$432:$M$787,'Emission Factors'!$W$432:$W$787))</f>
        <v/>
      </c>
      <c r="AA40" s="67"/>
      <c r="AB40" s="151"/>
    </row>
    <row r="41" spans="2:28">
      <c r="B41" s="166"/>
      <c r="C41" s="173"/>
      <c r="D41" s="103"/>
      <c r="E41" s="104"/>
      <c r="F41" s="103"/>
      <c r="G41" s="103"/>
      <c r="H41" s="186" t="str">
        <f t="shared" si="6"/>
        <v/>
      </c>
      <c r="I41" s="143"/>
      <c r="J41" s="103"/>
      <c r="K41" s="187" t="str">
        <f t="shared" si="11"/>
        <v/>
      </c>
      <c r="L41" s="340" t="str" cm="1">
        <f t="array" ref="L41">IF(J41="","",_xlfn.XLOOKUP(H41&amp;J41,'Emission Factors'!$M$353:$M$382&amp;'Emission Factors'!$U$353:$U$382,'Emission Factors'!$U$353:$U$382))</f>
        <v/>
      </c>
      <c r="M41" s="341" t="str">
        <f>IFERROR(IF(J41="","",INDEX(Conversions!$C$4:$I$10,MATCH($K41,Conversions!$B$4:$B$10,0),MATCH($L41,Conversions!$C$3:$I$3,0))),1)</f>
        <v/>
      </c>
      <c r="N41" s="342" t="str" cm="1">
        <f t="array" ref="N41">IF(J41="","",_xlfn.XLOOKUP(H41&amp;J41,'Emission Factors'!$M$353:$M$382&amp;'Emission Factors'!$U$353:$U$382,'Emission Factors'!$T$353:$T$382)*M41)</f>
        <v/>
      </c>
      <c r="O41" s="341" t="str">
        <f t="shared" si="12"/>
        <v/>
      </c>
      <c r="P41" s="144" t="str">
        <f t="shared" si="8"/>
        <v/>
      </c>
      <c r="Q41" s="340" t="str">
        <f>IF(J41="","",_xlfn.XLOOKUP(H41,'Emission Factors'!$M:$M,'Emission Factors'!$W:$W))</f>
        <v/>
      </c>
      <c r="R41" s="188"/>
      <c r="S41" s="67"/>
      <c r="T41" s="303" t="str">
        <f t="shared" si="9"/>
        <v/>
      </c>
      <c r="U41" s="303" t="str" cm="1">
        <f t="array" ref="U41">IF(J41="","",_xlfn.XLOOKUP(G41&amp;K41,'Emission Factors'!$K$432:$K$787&amp;'Emission Factors'!$U$432:$U$787,'Emission Factors'!$U$432:$U$787))</f>
        <v/>
      </c>
      <c r="V41" s="332" t="str">
        <f>IFERROR(IF(J41="","",INDEX(Conversions!$C$4:$I$10,MATCH($T41,Conversions!$B$4:$B$10,0),MATCH($U41,Conversions!$C$3:$I$3,0))),1)</f>
        <v/>
      </c>
      <c r="W41" s="309" t="str">
        <f>IF(J41="","",_xlfn.XLOOKUP(H41,'Emission Factors'!$M$432:$M$787,'Emission Factors'!$S$432:$S$787)*V41)</f>
        <v/>
      </c>
      <c r="X41" s="305" t="str">
        <f t="shared" si="13"/>
        <v/>
      </c>
      <c r="Y41" s="129" t="str">
        <f t="shared" si="10"/>
        <v/>
      </c>
      <c r="Z41" s="303" t="str">
        <f>IF(J41="","",_xlfn.XLOOKUP(H41,'Emission Factors'!$M$432:$M$787,'Emission Factors'!$W$432:$W$787))</f>
        <v/>
      </c>
      <c r="AA41" s="67"/>
      <c r="AB41" s="151"/>
    </row>
    <row r="42" spans="2:28">
      <c r="B42" s="166"/>
      <c r="C42" s="173"/>
      <c r="D42" s="103"/>
      <c r="E42" s="104"/>
      <c r="F42" s="103"/>
      <c r="G42" s="103"/>
      <c r="H42" s="186" t="str">
        <f t="shared" si="6"/>
        <v/>
      </c>
      <c r="I42" s="143"/>
      <c r="J42" s="103"/>
      <c r="K42" s="187" t="str">
        <f t="shared" si="11"/>
        <v/>
      </c>
      <c r="L42" s="340" t="str" cm="1">
        <f t="array" ref="L42">IF(J42="","",_xlfn.XLOOKUP(H42&amp;J42,'Emission Factors'!$M$353:$M$382&amp;'Emission Factors'!$U$353:$U$382,'Emission Factors'!$U$353:$U$382))</f>
        <v/>
      </c>
      <c r="M42" s="341" t="str">
        <f>IFERROR(IF(J42="","",INDEX(Conversions!$C$4:$I$10,MATCH($K42,Conversions!$B$4:$B$10,0),MATCH($L42,Conversions!$C$3:$I$3,0))),1)</f>
        <v/>
      </c>
      <c r="N42" s="342" t="str" cm="1">
        <f t="array" ref="N42">IF(J42="","",_xlfn.XLOOKUP(H42&amp;J42,'Emission Factors'!$M$353:$M$382&amp;'Emission Factors'!$U$353:$U$382,'Emission Factors'!$T$353:$T$382)*M42)</f>
        <v/>
      </c>
      <c r="O42" s="341" t="str">
        <f t="shared" si="12"/>
        <v/>
      </c>
      <c r="P42" s="144" t="str">
        <f t="shared" si="8"/>
        <v/>
      </c>
      <c r="Q42" s="340" t="str">
        <f>IF(J42="","",_xlfn.XLOOKUP(H42,'Emission Factors'!$M:$M,'Emission Factors'!$W:$W))</f>
        <v/>
      </c>
      <c r="R42" s="188"/>
      <c r="S42" s="67"/>
      <c r="T42" s="303" t="str">
        <f t="shared" si="9"/>
        <v/>
      </c>
      <c r="U42" s="303" t="str" cm="1">
        <f t="array" ref="U42">IF(J42="","",_xlfn.XLOOKUP(G42&amp;K42,'Emission Factors'!$K$432:$K$787&amp;'Emission Factors'!$U$432:$U$787,'Emission Factors'!$U$432:$U$787))</f>
        <v/>
      </c>
      <c r="V42" s="332" t="str">
        <f>IFERROR(IF(J42="","",INDEX(Conversions!$C$4:$I$10,MATCH($T42,Conversions!$B$4:$B$10,0),MATCH($U42,Conversions!$C$3:$I$3,0))),1)</f>
        <v/>
      </c>
      <c r="W42" s="309" t="str">
        <f>IF(J42="","",_xlfn.XLOOKUP(H42,'Emission Factors'!$M$432:$M$787,'Emission Factors'!$S$432:$S$787)*V42)</f>
        <v/>
      </c>
      <c r="X42" s="305" t="str">
        <f t="shared" si="13"/>
        <v/>
      </c>
      <c r="Y42" s="129" t="str">
        <f t="shared" si="10"/>
        <v/>
      </c>
      <c r="Z42" s="303" t="str">
        <f>IF(J42="","",_xlfn.XLOOKUP(H42,'Emission Factors'!$M$432:$M$787,'Emission Factors'!$W$432:$W$787))</f>
        <v/>
      </c>
      <c r="AA42" s="67"/>
      <c r="AB42" s="151"/>
    </row>
    <row r="43" spans="2:28">
      <c r="B43" s="166"/>
      <c r="C43" s="173"/>
      <c r="D43" s="103"/>
      <c r="E43" s="104"/>
      <c r="F43" s="103"/>
      <c r="G43" s="103"/>
      <c r="H43" s="186" t="str">
        <f t="shared" si="6"/>
        <v/>
      </c>
      <c r="I43" s="143"/>
      <c r="J43" s="103"/>
      <c r="K43" s="187" t="str">
        <f t="shared" si="11"/>
        <v/>
      </c>
      <c r="L43" s="340" t="str" cm="1">
        <f t="array" ref="L43">IF(J43="","",_xlfn.XLOOKUP(H43&amp;J43,'Emission Factors'!$M$353:$M$382&amp;'Emission Factors'!$U$353:$U$382,'Emission Factors'!$U$353:$U$382))</f>
        <v/>
      </c>
      <c r="M43" s="341" t="str">
        <f>IFERROR(IF(J43="","",INDEX(Conversions!$C$4:$I$10,MATCH($K43,Conversions!$B$4:$B$10,0),MATCH($L43,Conversions!$C$3:$I$3,0))),1)</f>
        <v/>
      </c>
      <c r="N43" s="342" t="str" cm="1">
        <f t="array" ref="N43">IF(J43="","",_xlfn.XLOOKUP(H43&amp;J43,'Emission Factors'!$M$353:$M$382&amp;'Emission Factors'!$U$353:$U$382,'Emission Factors'!$T$353:$T$382)*M43)</f>
        <v/>
      </c>
      <c r="O43" s="341" t="str">
        <f t="shared" si="12"/>
        <v/>
      </c>
      <c r="P43" s="144" t="str">
        <f t="shared" si="8"/>
        <v/>
      </c>
      <c r="Q43" s="340" t="str">
        <f>IF(J43="","",_xlfn.XLOOKUP(H43,'Emission Factors'!$M:$M,'Emission Factors'!$W:$W))</f>
        <v/>
      </c>
      <c r="R43" s="188"/>
      <c r="S43" s="67"/>
      <c r="T43" s="303" t="str">
        <f t="shared" si="9"/>
        <v/>
      </c>
      <c r="U43" s="303" t="str" cm="1">
        <f t="array" ref="U43">IF(J43="","",_xlfn.XLOOKUP(G43&amp;K43,'Emission Factors'!$K$432:$K$787&amp;'Emission Factors'!$U$432:$U$787,'Emission Factors'!$U$432:$U$787))</f>
        <v/>
      </c>
      <c r="V43" s="332" t="str">
        <f>IFERROR(IF(J43="","",INDEX(Conversions!$C$4:$I$10,MATCH($T43,Conversions!$B$4:$B$10,0),MATCH($U43,Conversions!$C$3:$I$3,0))),1)</f>
        <v/>
      </c>
      <c r="W43" s="309" t="str">
        <f>IF(J43="","",_xlfn.XLOOKUP(H43,'Emission Factors'!$M$432:$M$787,'Emission Factors'!$S$432:$S$787)*V43)</f>
        <v/>
      </c>
      <c r="X43" s="305" t="str">
        <f t="shared" si="13"/>
        <v/>
      </c>
      <c r="Y43" s="129" t="str">
        <f t="shared" si="10"/>
        <v/>
      </c>
      <c r="Z43" s="303" t="str">
        <f>IF(J43="","",_xlfn.XLOOKUP(H43,'Emission Factors'!$M$432:$M$787,'Emission Factors'!$W$432:$W$787))</f>
        <v/>
      </c>
      <c r="AA43" s="67"/>
      <c r="AB43" s="151"/>
    </row>
    <row r="44" spans="2:28">
      <c r="B44" s="166"/>
      <c r="C44" s="173"/>
      <c r="D44" s="103"/>
      <c r="E44" s="104"/>
      <c r="F44" s="103"/>
      <c r="G44" s="103"/>
      <c r="H44" s="186" t="str">
        <f t="shared" si="6"/>
        <v/>
      </c>
      <c r="I44" s="143"/>
      <c r="J44" s="103"/>
      <c r="K44" s="187" t="str">
        <f t="shared" si="11"/>
        <v/>
      </c>
      <c r="L44" s="340" t="str" cm="1">
        <f t="array" ref="L44">IF(J44="","",_xlfn.XLOOKUP(H44&amp;J44,'Emission Factors'!$M$353:$M$382&amp;'Emission Factors'!$U$353:$U$382,'Emission Factors'!$U$353:$U$382))</f>
        <v/>
      </c>
      <c r="M44" s="341" t="str">
        <f>IFERROR(IF(J44="","",INDEX(Conversions!$C$4:$I$10,MATCH($K44,Conversions!$B$4:$B$10,0),MATCH($L44,Conversions!$C$3:$I$3,0))),1)</f>
        <v/>
      </c>
      <c r="N44" s="342" t="str" cm="1">
        <f t="array" ref="N44">IF(J44="","",_xlfn.XLOOKUP(H44&amp;J44,'Emission Factors'!$M$353:$M$382&amp;'Emission Factors'!$U$353:$U$382,'Emission Factors'!$T$353:$T$382)*M44)</f>
        <v/>
      </c>
      <c r="O44" s="341" t="str">
        <f t="shared" si="12"/>
        <v/>
      </c>
      <c r="P44" s="144" t="str">
        <f t="shared" si="8"/>
        <v/>
      </c>
      <c r="Q44" s="340" t="str">
        <f>IF(J44="","",_xlfn.XLOOKUP(H44,'Emission Factors'!$M:$M,'Emission Factors'!$W:$W))</f>
        <v/>
      </c>
      <c r="R44" s="188"/>
      <c r="S44" s="67"/>
      <c r="T44" s="303" t="str">
        <f t="shared" si="9"/>
        <v/>
      </c>
      <c r="U44" s="303" t="str" cm="1">
        <f t="array" ref="U44">IF(J44="","",_xlfn.XLOOKUP(G44&amp;K44,'Emission Factors'!$K$432:$K$787&amp;'Emission Factors'!$U$432:$U$787,'Emission Factors'!$U$432:$U$787))</f>
        <v/>
      </c>
      <c r="V44" s="332" t="str">
        <f>IFERROR(IF(J44="","",INDEX(Conversions!$C$4:$I$10,MATCH($T44,Conversions!$B$4:$B$10,0),MATCH($U44,Conversions!$C$3:$I$3,0))),1)</f>
        <v/>
      </c>
      <c r="W44" s="309" t="str">
        <f>IF(J44="","",_xlfn.XLOOKUP(H44,'Emission Factors'!$M$432:$M$787,'Emission Factors'!$S$432:$S$787)*V44)</f>
        <v/>
      </c>
      <c r="X44" s="305" t="str">
        <f t="shared" si="13"/>
        <v/>
      </c>
      <c r="Y44" s="129" t="str">
        <f t="shared" si="10"/>
        <v/>
      </c>
      <c r="Z44" s="303" t="str">
        <f>IF(J44="","",_xlfn.XLOOKUP(H44,'Emission Factors'!$M$432:$M$787,'Emission Factors'!$W$432:$W$787))</f>
        <v/>
      </c>
      <c r="AA44" s="67"/>
      <c r="AB44" s="151"/>
    </row>
    <row r="45" spans="2:28">
      <c r="B45" s="166"/>
      <c r="C45" s="173"/>
      <c r="D45" s="103"/>
      <c r="E45" s="104"/>
      <c r="F45" s="103"/>
      <c r="G45" s="103"/>
      <c r="H45" s="186" t="str">
        <f t="shared" si="6"/>
        <v/>
      </c>
      <c r="I45" s="143"/>
      <c r="J45" s="103"/>
      <c r="K45" s="187" t="str">
        <f t="shared" si="11"/>
        <v/>
      </c>
      <c r="L45" s="340" t="str" cm="1">
        <f t="array" ref="L45">IF(J45="","",_xlfn.XLOOKUP(H45&amp;J45,'Emission Factors'!$M$353:$M$382&amp;'Emission Factors'!$U$353:$U$382,'Emission Factors'!$U$353:$U$382))</f>
        <v/>
      </c>
      <c r="M45" s="341" t="str">
        <f>IFERROR(IF(J45="","",INDEX(Conversions!$C$4:$I$10,MATCH($K45,Conversions!$B$4:$B$10,0),MATCH($L45,Conversions!$C$3:$I$3,0))),1)</f>
        <v/>
      </c>
      <c r="N45" s="342" t="str" cm="1">
        <f t="array" ref="N45">IF(J45="","",_xlfn.XLOOKUP(H45&amp;J45,'Emission Factors'!$M$353:$M$382&amp;'Emission Factors'!$U$353:$U$382,'Emission Factors'!$T$353:$T$382)*M45)</f>
        <v/>
      </c>
      <c r="O45" s="341" t="str">
        <f t="shared" si="12"/>
        <v/>
      </c>
      <c r="P45" s="144" t="str">
        <f t="shared" si="8"/>
        <v/>
      </c>
      <c r="Q45" s="340" t="str">
        <f>IF(J45="","",_xlfn.XLOOKUP(H45,'Emission Factors'!$M:$M,'Emission Factors'!$W:$W))</f>
        <v/>
      </c>
      <c r="R45" s="188"/>
      <c r="S45" s="67"/>
      <c r="T45" s="303" t="str">
        <f t="shared" si="9"/>
        <v/>
      </c>
      <c r="U45" s="303" t="str" cm="1">
        <f t="array" ref="U45">IF(J45="","",_xlfn.XLOOKUP(G45&amp;K45,'Emission Factors'!$K$432:$K$787&amp;'Emission Factors'!$U$432:$U$787,'Emission Factors'!$U$432:$U$787))</f>
        <v/>
      </c>
      <c r="V45" s="332" t="str">
        <f>IFERROR(IF(J45="","",INDEX(Conversions!$C$4:$I$10,MATCH($T45,Conversions!$B$4:$B$10,0),MATCH($U45,Conversions!$C$3:$I$3,0))),1)</f>
        <v/>
      </c>
      <c r="W45" s="309" t="str">
        <f>IF(J45="","",_xlfn.XLOOKUP(H45,'Emission Factors'!$M$432:$M$787,'Emission Factors'!$S$432:$S$787)*V45)</f>
        <v/>
      </c>
      <c r="X45" s="305" t="str">
        <f t="shared" si="13"/>
        <v/>
      </c>
      <c r="Y45" s="129" t="str">
        <f t="shared" si="10"/>
        <v/>
      </c>
      <c r="Z45" s="303" t="str">
        <f>IF(J45="","",_xlfn.XLOOKUP(H45,'Emission Factors'!$M$432:$M$787,'Emission Factors'!$W$432:$W$787))</f>
        <v/>
      </c>
      <c r="AA45" s="67"/>
      <c r="AB45" s="151"/>
    </row>
    <row r="46" spans="2:28">
      <c r="B46" s="166"/>
      <c r="C46" s="173"/>
      <c r="D46" s="103"/>
      <c r="E46" s="104"/>
      <c r="F46" s="103"/>
      <c r="G46" s="103"/>
      <c r="H46" s="186" t="str">
        <f t="shared" si="6"/>
        <v/>
      </c>
      <c r="I46" s="143"/>
      <c r="J46" s="103"/>
      <c r="K46" s="187" t="str">
        <f t="shared" si="11"/>
        <v/>
      </c>
      <c r="L46" s="340" t="str" cm="1">
        <f t="array" ref="L46">IF(J46="","",_xlfn.XLOOKUP(H46&amp;J46,'Emission Factors'!$M$353:$M$382&amp;'Emission Factors'!$U$353:$U$382,'Emission Factors'!$U$353:$U$382))</f>
        <v/>
      </c>
      <c r="M46" s="341" t="str">
        <f>IFERROR(IF(J46="","",INDEX(Conversions!$C$4:$I$10,MATCH($K46,Conversions!$B$4:$B$10,0),MATCH($L46,Conversions!$C$3:$I$3,0))),1)</f>
        <v/>
      </c>
      <c r="N46" s="342" t="str" cm="1">
        <f t="array" ref="N46">IF(J46="","",_xlfn.XLOOKUP(H46&amp;J46,'Emission Factors'!$M$353:$M$382&amp;'Emission Factors'!$U$353:$U$382,'Emission Factors'!$T$353:$T$382)*M46)</f>
        <v/>
      </c>
      <c r="O46" s="341" t="str">
        <f t="shared" si="12"/>
        <v/>
      </c>
      <c r="P46" s="144" t="str">
        <f t="shared" si="8"/>
        <v/>
      </c>
      <c r="Q46" s="340" t="str">
        <f>IF(J46="","",_xlfn.XLOOKUP(H46,'Emission Factors'!$M:$M,'Emission Factors'!$W:$W))</f>
        <v/>
      </c>
      <c r="R46" s="188"/>
      <c r="S46" s="67"/>
      <c r="T46" s="303" t="str">
        <f t="shared" si="9"/>
        <v/>
      </c>
      <c r="U46" s="303" t="str" cm="1">
        <f t="array" ref="U46">IF(J46="","",_xlfn.XLOOKUP(G46&amp;K46,'Emission Factors'!$K$432:$K$787&amp;'Emission Factors'!$U$432:$U$787,'Emission Factors'!$U$432:$U$787))</f>
        <v/>
      </c>
      <c r="V46" s="332" t="str">
        <f>IFERROR(IF(J46="","",INDEX(Conversions!$C$4:$I$10,MATCH($T46,Conversions!$B$4:$B$10,0),MATCH($U46,Conversions!$C$3:$I$3,0))),1)</f>
        <v/>
      </c>
      <c r="W46" s="309" t="str">
        <f>IF(J46="","",_xlfn.XLOOKUP(H46,'Emission Factors'!$M$432:$M$787,'Emission Factors'!$S$432:$S$787)*V46)</f>
        <v/>
      </c>
      <c r="X46" s="305" t="str">
        <f t="shared" si="13"/>
        <v/>
      </c>
      <c r="Y46" s="129" t="str">
        <f t="shared" si="10"/>
        <v/>
      </c>
      <c r="Z46" s="303" t="str">
        <f>IF(J46="","",_xlfn.XLOOKUP(H46,'Emission Factors'!$M$432:$M$787,'Emission Factors'!$W$432:$W$787))</f>
        <v/>
      </c>
      <c r="AA46" s="67"/>
      <c r="AB46" s="151"/>
    </row>
    <row r="47" spans="2:28">
      <c r="B47" s="166"/>
      <c r="C47" s="173"/>
      <c r="D47" s="103"/>
      <c r="E47" s="104"/>
      <c r="F47" s="103"/>
      <c r="G47" s="103"/>
      <c r="H47" s="186" t="str">
        <f t="shared" si="6"/>
        <v/>
      </c>
      <c r="I47" s="143"/>
      <c r="J47" s="103"/>
      <c r="K47" s="187" t="str">
        <f t="shared" si="11"/>
        <v/>
      </c>
      <c r="L47" s="340" t="str" cm="1">
        <f t="array" ref="L47">IF(J47="","",_xlfn.XLOOKUP(H47&amp;J47,'Emission Factors'!$M$353:$M$382&amp;'Emission Factors'!$U$353:$U$382,'Emission Factors'!$U$353:$U$382))</f>
        <v/>
      </c>
      <c r="M47" s="341" t="str">
        <f>IFERROR(IF(J47="","",INDEX(Conversions!$C$4:$I$10,MATCH($K47,Conversions!$B$4:$B$10,0),MATCH($L47,Conversions!$C$3:$I$3,0))),1)</f>
        <v/>
      </c>
      <c r="N47" s="342" t="str" cm="1">
        <f t="array" ref="N47">IF(J47="","",_xlfn.XLOOKUP(H47&amp;J47,'Emission Factors'!$M$353:$M$382&amp;'Emission Factors'!$U$353:$U$382,'Emission Factors'!$T$353:$T$382)*M47)</f>
        <v/>
      </c>
      <c r="O47" s="341" t="str">
        <f t="shared" si="12"/>
        <v/>
      </c>
      <c r="P47" s="144" t="str">
        <f t="shared" si="8"/>
        <v/>
      </c>
      <c r="Q47" s="340" t="str">
        <f>IF(J47="","",_xlfn.XLOOKUP(H47,'Emission Factors'!$M:$M,'Emission Factors'!$W:$W))</f>
        <v/>
      </c>
      <c r="R47" s="188"/>
      <c r="S47" s="67"/>
      <c r="T47" s="303" t="str">
        <f t="shared" si="9"/>
        <v/>
      </c>
      <c r="U47" s="303" t="str" cm="1">
        <f t="array" ref="U47">IF(J47="","",_xlfn.XLOOKUP(G47&amp;K47,'Emission Factors'!$K$432:$K$787&amp;'Emission Factors'!$U$432:$U$787,'Emission Factors'!$U$432:$U$787))</f>
        <v/>
      </c>
      <c r="V47" s="332" t="str">
        <f>IFERROR(IF(J47="","",INDEX(Conversions!$C$4:$I$10,MATCH($T47,Conversions!$B$4:$B$10,0),MATCH($U47,Conversions!$C$3:$I$3,0))),1)</f>
        <v/>
      </c>
      <c r="W47" s="309" t="str">
        <f>IF(J47="","",_xlfn.XLOOKUP(H47,'Emission Factors'!$M$432:$M$787,'Emission Factors'!$S$432:$S$787)*V47)</f>
        <v/>
      </c>
      <c r="X47" s="305" t="str">
        <f t="shared" si="13"/>
        <v/>
      </c>
      <c r="Y47" s="129" t="str">
        <f t="shared" si="10"/>
        <v/>
      </c>
      <c r="Z47" s="303" t="str">
        <f>IF(J47="","",_xlfn.XLOOKUP(H47,'Emission Factors'!$M$432:$M$787,'Emission Factors'!$W$432:$W$787))</f>
        <v/>
      </c>
      <c r="AA47" s="67"/>
      <c r="AB47" s="151"/>
    </row>
    <row r="48" spans="2:28">
      <c r="B48" s="166"/>
      <c r="C48" s="173"/>
      <c r="D48" s="103"/>
      <c r="E48" s="104"/>
      <c r="F48" s="103"/>
      <c r="G48" s="103"/>
      <c r="H48" s="186" t="str">
        <f t="shared" si="6"/>
        <v/>
      </c>
      <c r="I48" s="143"/>
      <c r="J48" s="103"/>
      <c r="K48" s="187" t="str">
        <f t="shared" si="11"/>
        <v/>
      </c>
      <c r="L48" s="340" t="str" cm="1">
        <f t="array" ref="L48">IF(J48="","",_xlfn.XLOOKUP(H48&amp;J48,'Emission Factors'!$M$353:$M$382&amp;'Emission Factors'!$U$353:$U$382,'Emission Factors'!$U$353:$U$382))</f>
        <v/>
      </c>
      <c r="M48" s="341" t="str">
        <f>IFERROR(IF(J48="","",INDEX(Conversions!$C$4:$I$10,MATCH($K48,Conversions!$B$4:$B$10,0),MATCH($L48,Conversions!$C$3:$I$3,0))),1)</f>
        <v/>
      </c>
      <c r="N48" s="342" t="str" cm="1">
        <f t="array" ref="N48">IF(J48="","",_xlfn.XLOOKUP(H48&amp;J48,'Emission Factors'!$M$353:$M$382&amp;'Emission Factors'!$U$353:$U$382,'Emission Factors'!$T$353:$T$382)*M48)</f>
        <v/>
      </c>
      <c r="O48" s="341" t="str">
        <f t="shared" si="12"/>
        <v/>
      </c>
      <c r="P48" s="144" t="str">
        <f t="shared" si="8"/>
        <v/>
      </c>
      <c r="Q48" s="340" t="str">
        <f>IF(J48="","",_xlfn.XLOOKUP(H48,'Emission Factors'!$M:$M,'Emission Factors'!$W:$W))</f>
        <v/>
      </c>
      <c r="R48" s="188"/>
      <c r="S48" s="67"/>
      <c r="T48" s="303" t="str">
        <f t="shared" si="9"/>
        <v/>
      </c>
      <c r="U48" s="303" t="str" cm="1">
        <f t="array" ref="U48">IF(J48="","",_xlfn.XLOOKUP(G48&amp;K48,'Emission Factors'!$K$432:$K$787&amp;'Emission Factors'!$U$432:$U$787,'Emission Factors'!$U$432:$U$787))</f>
        <v/>
      </c>
      <c r="V48" s="332" t="str">
        <f>IFERROR(IF(J48="","",INDEX(Conversions!$C$4:$I$10,MATCH($T48,Conversions!$B$4:$B$10,0),MATCH($U48,Conversions!$C$3:$I$3,0))),1)</f>
        <v/>
      </c>
      <c r="W48" s="309" t="str">
        <f>IF(J48="","",_xlfn.XLOOKUP(H48,'Emission Factors'!$M$432:$M$787,'Emission Factors'!$S$432:$S$787)*V48)</f>
        <v/>
      </c>
      <c r="X48" s="305" t="str">
        <f t="shared" si="13"/>
        <v/>
      </c>
      <c r="Y48" s="129" t="str">
        <f t="shared" si="10"/>
        <v/>
      </c>
      <c r="Z48" s="303" t="str">
        <f>IF(J48="","",_xlfn.XLOOKUP(H48,'Emission Factors'!$M$432:$M$787,'Emission Factors'!$W$432:$W$787))</f>
        <v/>
      </c>
      <c r="AA48" s="67"/>
      <c r="AB48" s="151"/>
    </row>
    <row r="49" spans="2:28">
      <c r="B49" s="166"/>
      <c r="C49" s="173"/>
      <c r="D49" s="103"/>
      <c r="E49" s="104"/>
      <c r="F49" s="103"/>
      <c r="G49" s="103"/>
      <c r="H49" s="186" t="str">
        <f t="shared" si="6"/>
        <v/>
      </c>
      <c r="I49" s="143"/>
      <c r="J49" s="103"/>
      <c r="K49" s="187" t="str">
        <f t="shared" si="11"/>
        <v/>
      </c>
      <c r="L49" s="340" t="str" cm="1">
        <f t="array" ref="L49">IF(J49="","",_xlfn.XLOOKUP(H49&amp;J49,'Emission Factors'!$M$353:$M$382&amp;'Emission Factors'!$U$353:$U$382,'Emission Factors'!$U$353:$U$382))</f>
        <v/>
      </c>
      <c r="M49" s="341" t="str">
        <f>IFERROR(IF(J49="","",INDEX(Conversions!$C$4:$I$10,MATCH($K49,Conversions!$B$4:$B$10,0),MATCH($L49,Conversions!$C$3:$I$3,0))),1)</f>
        <v/>
      </c>
      <c r="N49" s="342" t="str" cm="1">
        <f t="array" ref="N49">IF(J49="","",_xlfn.XLOOKUP(H49&amp;J49,'Emission Factors'!$M$353:$M$382&amp;'Emission Factors'!$U$353:$U$382,'Emission Factors'!$T$353:$T$382)*M49)</f>
        <v/>
      </c>
      <c r="O49" s="341" t="str">
        <f t="shared" si="12"/>
        <v/>
      </c>
      <c r="P49" s="144" t="str">
        <f t="shared" si="8"/>
        <v/>
      </c>
      <c r="Q49" s="340" t="str">
        <f>IF(J49="","",_xlfn.XLOOKUP(H49,'Emission Factors'!$M:$M,'Emission Factors'!$W:$W))</f>
        <v/>
      </c>
      <c r="R49" s="188"/>
      <c r="S49" s="67"/>
      <c r="T49" s="303" t="str">
        <f t="shared" si="9"/>
        <v/>
      </c>
      <c r="U49" s="303" t="str" cm="1">
        <f t="array" ref="U49">IF(J49="","",_xlfn.XLOOKUP(G49&amp;K49,'Emission Factors'!$K$432:$K$787&amp;'Emission Factors'!$U$432:$U$787,'Emission Factors'!$U$432:$U$787))</f>
        <v/>
      </c>
      <c r="V49" s="332" t="str">
        <f>IFERROR(IF(J49="","",INDEX(Conversions!$C$4:$I$10,MATCH($T49,Conversions!$B$4:$B$10,0),MATCH($U49,Conversions!$C$3:$I$3,0))),1)</f>
        <v/>
      </c>
      <c r="W49" s="309" t="str">
        <f>IF(J49="","",_xlfn.XLOOKUP(H49,'Emission Factors'!$M$432:$M$787,'Emission Factors'!$S$432:$S$787)*V49)</f>
        <v/>
      </c>
      <c r="X49" s="305" t="str">
        <f t="shared" si="13"/>
        <v/>
      </c>
      <c r="Y49" s="129" t="str">
        <f t="shared" si="10"/>
        <v/>
      </c>
      <c r="Z49" s="303" t="str">
        <f>IF(J49="","",_xlfn.XLOOKUP(H49,'Emission Factors'!$M$432:$M$787,'Emission Factors'!$W$432:$W$787))</f>
        <v/>
      </c>
      <c r="AA49" s="67"/>
      <c r="AB49" s="151"/>
    </row>
    <row r="50" spans="2:28">
      <c r="B50" s="166"/>
      <c r="C50" s="173"/>
      <c r="D50" s="103"/>
      <c r="E50" s="104"/>
      <c r="F50" s="103"/>
      <c r="G50" s="103"/>
      <c r="H50" s="186" t="str">
        <f t="shared" si="6"/>
        <v/>
      </c>
      <c r="I50" s="143"/>
      <c r="J50" s="103"/>
      <c r="K50" s="187" t="str">
        <f t="shared" si="11"/>
        <v/>
      </c>
      <c r="L50" s="340" t="str" cm="1">
        <f t="array" ref="L50">IF(J50="","",_xlfn.XLOOKUP(H50&amp;J50,'Emission Factors'!$M$353:$M$382&amp;'Emission Factors'!$U$353:$U$382,'Emission Factors'!$U$353:$U$382))</f>
        <v/>
      </c>
      <c r="M50" s="341" t="str">
        <f>IFERROR(IF(J50="","",INDEX(Conversions!$C$4:$I$10,MATCH($K50,Conversions!$B$4:$B$10,0),MATCH($L50,Conversions!$C$3:$I$3,0))),1)</f>
        <v/>
      </c>
      <c r="N50" s="342" t="str" cm="1">
        <f t="array" ref="N50">IF(J50="","",_xlfn.XLOOKUP(H50&amp;J50,'Emission Factors'!$M$353:$M$382&amp;'Emission Factors'!$U$353:$U$382,'Emission Factors'!$T$353:$T$382)*M50)</f>
        <v/>
      </c>
      <c r="O50" s="341" t="str">
        <f t="shared" si="12"/>
        <v/>
      </c>
      <c r="P50" s="144" t="str">
        <f t="shared" si="8"/>
        <v/>
      </c>
      <c r="Q50" s="340" t="str">
        <f>IF(J50="","",_xlfn.XLOOKUP(H50,'Emission Factors'!$M:$M,'Emission Factors'!$W:$W))</f>
        <v/>
      </c>
      <c r="R50" s="188"/>
      <c r="S50" s="67"/>
      <c r="T50" s="303" t="str">
        <f t="shared" si="9"/>
        <v/>
      </c>
      <c r="U50" s="303" t="str" cm="1">
        <f t="array" ref="U50">IF(J50="","",_xlfn.XLOOKUP(G50&amp;K50,'Emission Factors'!$K$432:$K$787&amp;'Emission Factors'!$U$432:$U$787,'Emission Factors'!$U$432:$U$787))</f>
        <v/>
      </c>
      <c r="V50" s="332" t="str">
        <f>IFERROR(IF(J50="","",INDEX(Conversions!$C$4:$I$10,MATCH($T50,Conversions!$B$4:$B$10,0),MATCH($U50,Conversions!$C$3:$I$3,0))),1)</f>
        <v/>
      </c>
      <c r="W50" s="309" t="str">
        <f>IF(J50="","",_xlfn.XLOOKUP(H50,'Emission Factors'!$M$432:$M$787,'Emission Factors'!$S$432:$S$787)*V50)</f>
        <v/>
      </c>
      <c r="X50" s="305" t="str">
        <f t="shared" si="13"/>
        <v/>
      </c>
      <c r="Y50" s="129" t="str">
        <f t="shared" si="10"/>
        <v/>
      </c>
      <c r="Z50" s="303" t="str">
        <f>IF(J50="","",_xlfn.XLOOKUP(H50,'Emission Factors'!$M$432:$M$787,'Emission Factors'!$W$432:$W$787))</f>
        <v/>
      </c>
      <c r="AA50" s="67"/>
      <c r="AB50" s="151"/>
    </row>
    <row r="51" spans="2:28">
      <c r="B51" s="166"/>
      <c r="C51" s="173"/>
      <c r="D51" s="103"/>
      <c r="E51" s="104"/>
      <c r="F51" s="103"/>
      <c r="G51" s="103"/>
      <c r="H51" s="186" t="str">
        <f t="shared" si="6"/>
        <v/>
      </c>
      <c r="I51" s="143"/>
      <c r="J51" s="103"/>
      <c r="K51" s="187" t="str">
        <f t="shared" si="11"/>
        <v/>
      </c>
      <c r="L51" s="340" t="str" cm="1">
        <f t="array" ref="L51">IF(J51="","",_xlfn.XLOOKUP(H51&amp;J51,'Emission Factors'!$M$353:$M$382&amp;'Emission Factors'!$U$353:$U$382,'Emission Factors'!$U$353:$U$382))</f>
        <v/>
      </c>
      <c r="M51" s="341" t="str">
        <f>IFERROR(IF(J51="","",INDEX(Conversions!$C$4:$I$10,MATCH($K51,Conversions!$B$4:$B$10,0),MATCH($L51,Conversions!$C$3:$I$3,0))),1)</f>
        <v/>
      </c>
      <c r="N51" s="342" t="str" cm="1">
        <f t="array" ref="N51">IF(J51="","",_xlfn.XLOOKUP(H51&amp;J51,'Emission Factors'!$M$353:$M$382&amp;'Emission Factors'!$U$353:$U$382,'Emission Factors'!$T$353:$T$382)*M51)</f>
        <v/>
      </c>
      <c r="O51" s="341" t="str">
        <f t="shared" si="12"/>
        <v/>
      </c>
      <c r="P51" s="144" t="str">
        <f t="shared" si="8"/>
        <v/>
      </c>
      <c r="Q51" s="340" t="str">
        <f>IF(J51="","",_xlfn.XLOOKUP(H51,'Emission Factors'!$M:$M,'Emission Factors'!$W:$W))</f>
        <v/>
      </c>
      <c r="R51" s="188"/>
      <c r="S51" s="67"/>
      <c r="T51" s="303" t="str">
        <f t="shared" si="9"/>
        <v/>
      </c>
      <c r="U51" s="303" t="str" cm="1">
        <f t="array" ref="U51">IF(J51="","",_xlfn.XLOOKUP(G51&amp;K51,'Emission Factors'!$K$432:$K$787&amp;'Emission Factors'!$U$432:$U$787,'Emission Factors'!$U$432:$U$787))</f>
        <v/>
      </c>
      <c r="V51" s="332" t="str">
        <f>IFERROR(IF(J51="","",INDEX(Conversions!$C$4:$I$10,MATCH($T51,Conversions!$B$4:$B$10,0),MATCH($U51,Conversions!$C$3:$I$3,0))),1)</f>
        <v/>
      </c>
      <c r="W51" s="309" t="str">
        <f>IF(J51="","",_xlfn.XLOOKUP(H51,'Emission Factors'!$M$432:$M$787,'Emission Factors'!$S$432:$S$787)*V51)</f>
        <v/>
      </c>
      <c r="X51" s="305" t="str">
        <f t="shared" si="13"/>
        <v/>
      </c>
      <c r="Y51" s="129" t="str">
        <f t="shared" si="10"/>
        <v/>
      </c>
      <c r="Z51" s="303" t="str">
        <f>IF(J51="","",_xlfn.XLOOKUP(H51,'Emission Factors'!$M$432:$M$787,'Emission Factors'!$W$432:$W$787))</f>
        <v/>
      </c>
      <c r="AA51" s="67"/>
      <c r="AB51" s="151"/>
    </row>
    <row r="52" spans="2:28">
      <c r="B52" s="166"/>
      <c r="C52" s="173"/>
      <c r="D52" s="103"/>
      <c r="E52" s="104"/>
      <c r="F52" s="103"/>
      <c r="G52" s="103"/>
      <c r="H52" s="186" t="str">
        <f t="shared" si="6"/>
        <v/>
      </c>
      <c r="I52" s="143"/>
      <c r="J52" s="103"/>
      <c r="K52" s="187" t="str">
        <f t="shared" si="11"/>
        <v/>
      </c>
      <c r="L52" s="340" t="str" cm="1">
        <f t="array" ref="L52">IF(J52="","",_xlfn.XLOOKUP(H52&amp;J52,'Emission Factors'!$M$353:$M$382&amp;'Emission Factors'!$U$353:$U$382,'Emission Factors'!$U$353:$U$382))</f>
        <v/>
      </c>
      <c r="M52" s="341" t="str">
        <f>IFERROR(IF(J52="","",INDEX(Conversions!$C$4:$I$10,MATCH($K52,Conversions!$B$4:$B$10,0),MATCH($L52,Conversions!$C$3:$I$3,0))),1)</f>
        <v/>
      </c>
      <c r="N52" s="342" t="str" cm="1">
        <f t="array" ref="N52">IF(J52="","",_xlfn.XLOOKUP(H52&amp;J52,'Emission Factors'!$M$353:$M$382&amp;'Emission Factors'!$U$353:$U$382,'Emission Factors'!$T$353:$T$382)*M52)</f>
        <v/>
      </c>
      <c r="O52" s="341" t="str">
        <f t="shared" si="12"/>
        <v/>
      </c>
      <c r="P52" s="144" t="str">
        <f t="shared" si="8"/>
        <v/>
      </c>
      <c r="Q52" s="340" t="str">
        <f>IF(J52="","",_xlfn.XLOOKUP(H52,'Emission Factors'!$M:$M,'Emission Factors'!$W:$W))</f>
        <v/>
      </c>
      <c r="R52" s="188"/>
      <c r="S52" s="67"/>
      <c r="T52" s="303" t="str">
        <f t="shared" si="9"/>
        <v/>
      </c>
      <c r="U52" s="303" t="str" cm="1">
        <f t="array" ref="U52">IF(J52="","",_xlfn.XLOOKUP(G52&amp;K52,'Emission Factors'!$K$432:$K$787&amp;'Emission Factors'!$U$432:$U$787,'Emission Factors'!$U$432:$U$787))</f>
        <v/>
      </c>
      <c r="V52" s="332" t="str">
        <f>IFERROR(IF(J52="","",INDEX(Conversions!$C$4:$I$10,MATCH($T52,Conversions!$B$4:$B$10,0),MATCH($U52,Conversions!$C$3:$I$3,0))),1)</f>
        <v/>
      </c>
      <c r="W52" s="309" t="str">
        <f>IF(J52="","",_xlfn.XLOOKUP(H52,'Emission Factors'!$M$432:$M$787,'Emission Factors'!$S$432:$S$787)*V52)</f>
        <v/>
      </c>
      <c r="X52" s="305" t="str">
        <f t="shared" si="13"/>
        <v/>
      </c>
      <c r="Y52" s="129" t="str">
        <f t="shared" si="10"/>
        <v/>
      </c>
      <c r="Z52" s="303" t="str">
        <f>IF(J52="","",_xlfn.XLOOKUP(H52,'Emission Factors'!$M$432:$M$787,'Emission Factors'!$W$432:$W$787))</f>
        <v/>
      </c>
      <c r="AA52" s="67"/>
      <c r="AB52" s="151"/>
    </row>
    <row r="53" spans="2:28">
      <c r="B53" s="166"/>
      <c r="C53" s="173"/>
      <c r="D53" s="103"/>
      <c r="E53" s="104"/>
      <c r="F53" s="103"/>
      <c r="G53" s="103"/>
      <c r="H53" s="186" t="str">
        <f t="shared" si="6"/>
        <v/>
      </c>
      <c r="I53" s="143"/>
      <c r="J53" s="103"/>
      <c r="K53" s="187" t="str">
        <f t="shared" si="11"/>
        <v/>
      </c>
      <c r="L53" s="340" t="str" cm="1">
        <f t="array" ref="L53">IF(J53="","",_xlfn.XLOOKUP(H53&amp;J53,'Emission Factors'!$M$353:$M$382&amp;'Emission Factors'!$U$353:$U$382,'Emission Factors'!$U$353:$U$382))</f>
        <v/>
      </c>
      <c r="M53" s="341" t="str">
        <f>IFERROR(IF(J53="","",INDEX(Conversions!$C$4:$I$10,MATCH($K53,Conversions!$B$4:$B$10,0),MATCH($L53,Conversions!$C$3:$I$3,0))),1)</f>
        <v/>
      </c>
      <c r="N53" s="342" t="str" cm="1">
        <f t="array" ref="N53">IF(J53="","",_xlfn.XLOOKUP(H53&amp;J53,'Emission Factors'!$M$353:$M$382&amp;'Emission Factors'!$U$353:$U$382,'Emission Factors'!$T$353:$T$382)*M53)</f>
        <v/>
      </c>
      <c r="O53" s="341" t="str">
        <f t="shared" si="12"/>
        <v/>
      </c>
      <c r="P53" s="144" t="str">
        <f t="shared" si="8"/>
        <v/>
      </c>
      <c r="Q53" s="340" t="str">
        <f>IF(J53="","",_xlfn.XLOOKUP(H53,'Emission Factors'!$M:$M,'Emission Factors'!$W:$W))</f>
        <v/>
      </c>
      <c r="R53" s="188"/>
      <c r="S53" s="67"/>
      <c r="T53" s="303" t="str">
        <f t="shared" si="9"/>
        <v/>
      </c>
      <c r="U53" s="303" t="str" cm="1">
        <f t="array" ref="U53">IF(J53="","",_xlfn.XLOOKUP(G53&amp;K53,'Emission Factors'!$K$432:$K$787&amp;'Emission Factors'!$U$432:$U$787,'Emission Factors'!$U$432:$U$787))</f>
        <v/>
      </c>
      <c r="V53" s="332" t="str">
        <f>IFERROR(IF(J53="","",INDEX(Conversions!$C$4:$I$10,MATCH($T53,Conversions!$B$4:$B$10,0),MATCH($U53,Conversions!$C$3:$I$3,0))),1)</f>
        <v/>
      </c>
      <c r="W53" s="309" t="str">
        <f>IF(J53="","",_xlfn.XLOOKUP(H53,'Emission Factors'!$M$432:$M$787,'Emission Factors'!$S$432:$S$787)*V53)</f>
        <v/>
      </c>
      <c r="X53" s="305" t="str">
        <f t="shared" si="13"/>
        <v/>
      </c>
      <c r="Y53" s="129" t="str">
        <f t="shared" si="10"/>
        <v/>
      </c>
      <c r="Z53" s="303" t="str">
        <f>IF(J53="","",_xlfn.XLOOKUP(H53,'Emission Factors'!$M$432:$M$787,'Emission Factors'!$W$432:$W$787))</f>
        <v/>
      </c>
      <c r="AA53" s="67"/>
      <c r="AB53" s="151"/>
    </row>
    <row r="54" spans="2:28">
      <c r="B54" s="166"/>
      <c r="C54" s="173"/>
      <c r="D54" s="103"/>
      <c r="E54" s="104"/>
      <c r="F54" s="103"/>
      <c r="G54" s="103"/>
      <c r="H54" s="186" t="str">
        <f t="shared" si="6"/>
        <v/>
      </c>
      <c r="I54" s="143"/>
      <c r="J54" s="103"/>
      <c r="K54" s="187" t="str">
        <f t="shared" si="11"/>
        <v/>
      </c>
      <c r="L54" s="340" t="str" cm="1">
        <f t="array" ref="L54">IF(J54="","",_xlfn.XLOOKUP(H54&amp;J54,'Emission Factors'!$M$353:$M$382&amp;'Emission Factors'!$U$353:$U$382,'Emission Factors'!$U$353:$U$382))</f>
        <v/>
      </c>
      <c r="M54" s="341" t="str">
        <f>IFERROR(IF(J54="","",INDEX(Conversions!$C$4:$I$10,MATCH($K54,Conversions!$B$4:$B$10,0),MATCH($L54,Conversions!$C$3:$I$3,0))),1)</f>
        <v/>
      </c>
      <c r="N54" s="342" t="str" cm="1">
        <f t="array" ref="N54">IF(J54="","",_xlfn.XLOOKUP(H54&amp;J54,'Emission Factors'!$M$353:$M$382&amp;'Emission Factors'!$U$353:$U$382,'Emission Factors'!$T$353:$T$382)*M54)</f>
        <v/>
      </c>
      <c r="O54" s="341" t="str">
        <f t="shared" si="12"/>
        <v/>
      </c>
      <c r="P54" s="144" t="str">
        <f t="shared" si="8"/>
        <v/>
      </c>
      <c r="Q54" s="340" t="str">
        <f>IF(J54="","",_xlfn.XLOOKUP(H54,'Emission Factors'!$M:$M,'Emission Factors'!$W:$W))</f>
        <v/>
      </c>
      <c r="R54" s="188"/>
      <c r="S54" s="67"/>
      <c r="T54" s="303" t="str">
        <f t="shared" si="9"/>
        <v/>
      </c>
      <c r="U54" s="303" t="str" cm="1">
        <f t="array" ref="U54">IF(J54="","",_xlfn.XLOOKUP(G54&amp;K54,'Emission Factors'!$K$432:$K$787&amp;'Emission Factors'!$U$432:$U$787,'Emission Factors'!$U$432:$U$787))</f>
        <v/>
      </c>
      <c r="V54" s="332" t="str">
        <f>IFERROR(IF(J54="","",INDEX(Conversions!$C$4:$I$10,MATCH($T54,Conversions!$B$4:$B$10,0),MATCH($U54,Conversions!$C$3:$I$3,0))),1)</f>
        <v/>
      </c>
      <c r="W54" s="309" t="str">
        <f>IF(J54="","",_xlfn.XLOOKUP(H54,'Emission Factors'!$M$432:$M$787,'Emission Factors'!$S$432:$S$787)*V54)</f>
        <v/>
      </c>
      <c r="X54" s="305" t="str">
        <f t="shared" si="13"/>
        <v/>
      </c>
      <c r="Y54" s="129" t="str">
        <f t="shared" si="10"/>
        <v/>
      </c>
      <c r="Z54" s="303" t="str">
        <f>IF(J54="","",_xlfn.XLOOKUP(H54,'Emission Factors'!$M$432:$M$787,'Emission Factors'!$W$432:$W$787))</f>
        <v/>
      </c>
      <c r="AA54" s="67"/>
      <c r="AB54" s="151"/>
    </row>
    <row r="55" spans="2:28">
      <c r="B55" s="166"/>
      <c r="C55" s="173"/>
      <c r="D55" s="103"/>
      <c r="E55" s="104"/>
      <c r="F55" s="103"/>
      <c r="G55" s="103"/>
      <c r="H55" s="186" t="str">
        <f t="shared" si="6"/>
        <v/>
      </c>
      <c r="I55" s="143"/>
      <c r="J55" s="103"/>
      <c r="K55" s="187" t="str">
        <f t="shared" si="11"/>
        <v/>
      </c>
      <c r="L55" s="340" t="str" cm="1">
        <f t="array" ref="L55">IF(J55="","",_xlfn.XLOOKUP(H55&amp;J55,'Emission Factors'!$M$353:$M$382&amp;'Emission Factors'!$U$353:$U$382,'Emission Factors'!$U$353:$U$382))</f>
        <v/>
      </c>
      <c r="M55" s="341" t="str">
        <f>IFERROR(IF(J55="","",INDEX(Conversions!$C$4:$I$10,MATCH($K55,Conversions!$B$4:$B$10,0),MATCH($L55,Conversions!$C$3:$I$3,0))),1)</f>
        <v/>
      </c>
      <c r="N55" s="342" t="str" cm="1">
        <f t="array" ref="N55">IF(J55="","",_xlfn.XLOOKUP(H55&amp;J55,'Emission Factors'!$M$353:$M$382&amp;'Emission Factors'!$U$353:$U$382,'Emission Factors'!$T$353:$T$382)*M55)</f>
        <v/>
      </c>
      <c r="O55" s="341" t="str">
        <f t="shared" si="12"/>
        <v/>
      </c>
      <c r="P55" s="144" t="str">
        <f t="shared" si="8"/>
        <v/>
      </c>
      <c r="Q55" s="340" t="str">
        <f>IF(J55="","",_xlfn.XLOOKUP(H55,'Emission Factors'!$M:$M,'Emission Factors'!$W:$W))</f>
        <v/>
      </c>
      <c r="R55" s="188"/>
      <c r="S55" s="67"/>
      <c r="T55" s="303" t="str">
        <f t="shared" si="9"/>
        <v/>
      </c>
      <c r="U55" s="303" t="str" cm="1">
        <f t="array" ref="U55">IF(J55="","",_xlfn.XLOOKUP(G55&amp;K55,'Emission Factors'!$K$432:$K$787&amp;'Emission Factors'!$U$432:$U$787,'Emission Factors'!$U$432:$U$787))</f>
        <v/>
      </c>
      <c r="V55" s="332" t="str">
        <f>IFERROR(IF(J55="","",INDEX(Conversions!$C$4:$I$10,MATCH($T55,Conversions!$B$4:$B$10,0),MATCH($U55,Conversions!$C$3:$I$3,0))),1)</f>
        <v/>
      </c>
      <c r="W55" s="309" t="str">
        <f>IF(J55="","",_xlfn.XLOOKUP(H55,'Emission Factors'!$M$432:$M$787,'Emission Factors'!$S$432:$S$787)*V55)</f>
        <v/>
      </c>
      <c r="X55" s="305" t="str">
        <f t="shared" si="13"/>
        <v/>
      </c>
      <c r="Y55" s="129" t="str">
        <f t="shared" si="10"/>
        <v/>
      </c>
      <c r="Z55" s="303" t="str">
        <f>IF(J55="","",_xlfn.XLOOKUP(H55,'Emission Factors'!$M$432:$M$787,'Emission Factors'!$W$432:$W$787))</f>
        <v/>
      </c>
      <c r="AA55" s="67"/>
      <c r="AB55" s="151"/>
    </row>
    <row r="56" spans="2:28">
      <c r="B56" s="166"/>
      <c r="C56" s="173"/>
      <c r="D56" s="103"/>
      <c r="E56" s="104"/>
      <c r="F56" s="103"/>
      <c r="G56" s="103"/>
      <c r="H56" s="186" t="str">
        <f t="shared" si="6"/>
        <v/>
      </c>
      <c r="I56" s="143"/>
      <c r="J56" s="103"/>
      <c r="K56" s="187" t="str">
        <f t="shared" si="11"/>
        <v/>
      </c>
      <c r="L56" s="340" t="str" cm="1">
        <f t="array" ref="L56">IF(J56="","",_xlfn.XLOOKUP(H56&amp;J56,'Emission Factors'!$M$353:$M$382&amp;'Emission Factors'!$U$353:$U$382,'Emission Factors'!$U$353:$U$382))</f>
        <v/>
      </c>
      <c r="M56" s="341" t="str">
        <f>IFERROR(IF(J56="","",INDEX(Conversions!$C$4:$I$10,MATCH($K56,Conversions!$B$4:$B$10,0),MATCH($L56,Conversions!$C$3:$I$3,0))),1)</f>
        <v/>
      </c>
      <c r="N56" s="342" t="str" cm="1">
        <f t="array" ref="N56">IF(J56="","",_xlfn.XLOOKUP(H56&amp;J56,'Emission Factors'!$M$353:$M$382&amp;'Emission Factors'!$U$353:$U$382,'Emission Factors'!$T$353:$T$382)*M56)</f>
        <v/>
      </c>
      <c r="O56" s="341" t="str">
        <f t="shared" si="12"/>
        <v/>
      </c>
      <c r="P56" s="144" t="str">
        <f t="shared" si="8"/>
        <v/>
      </c>
      <c r="Q56" s="340" t="str">
        <f>IF(J56="","",_xlfn.XLOOKUP(H56,'Emission Factors'!$M:$M,'Emission Factors'!$W:$W))</f>
        <v/>
      </c>
      <c r="R56" s="188"/>
      <c r="S56" s="67"/>
      <c r="T56" s="303" t="str">
        <f t="shared" si="9"/>
        <v/>
      </c>
      <c r="U56" s="303" t="str" cm="1">
        <f t="array" ref="U56">IF(J56="","",_xlfn.XLOOKUP(G56&amp;K56,'Emission Factors'!$K$432:$K$787&amp;'Emission Factors'!$U$432:$U$787,'Emission Factors'!$U$432:$U$787))</f>
        <v/>
      </c>
      <c r="V56" s="332" t="str">
        <f>IFERROR(IF(J56="","",INDEX(Conversions!$C$4:$I$10,MATCH($T56,Conversions!$B$4:$B$10,0),MATCH($U56,Conversions!$C$3:$I$3,0))),1)</f>
        <v/>
      </c>
      <c r="W56" s="309" t="str">
        <f>IF(J56="","",_xlfn.XLOOKUP(H56,'Emission Factors'!$M$432:$M$787,'Emission Factors'!$S$432:$S$787)*V56)</f>
        <v/>
      </c>
      <c r="X56" s="305" t="str">
        <f t="shared" si="13"/>
        <v/>
      </c>
      <c r="Y56" s="129" t="str">
        <f t="shared" si="10"/>
        <v/>
      </c>
      <c r="Z56" s="303" t="str">
        <f>IF(J56="","",_xlfn.XLOOKUP(H56,'Emission Factors'!$M$432:$M$787,'Emission Factors'!$W$432:$W$787))</f>
        <v/>
      </c>
      <c r="AA56" s="67"/>
      <c r="AB56" s="151"/>
    </row>
    <row r="57" spans="2:28">
      <c r="B57" s="166"/>
      <c r="C57" s="173"/>
      <c r="D57" s="103"/>
      <c r="E57" s="104"/>
      <c r="F57" s="103"/>
      <c r="G57" s="103"/>
      <c r="H57" s="186" t="str">
        <f t="shared" si="6"/>
        <v/>
      </c>
      <c r="I57" s="143"/>
      <c r="J57" s="103"/>
      <c r="K57" s="187" t="str">
        <f t="shared" si="11"/>
        <v/>
      </c>
      <c r="L57" s="340" t="str" cm="1">
        <f t="array" ref="L57">IF(J57="","",_xlfn.XLOOKUP(H57&amp;J57,'Emission Factors'!$M$353:$M$382&amp;'Emission Factors'!$U$353:$U$382,'Emission Factors'!$U$353:$U$382))</f>
        <v/>
      </c>
      <c r="M57" s="341" t="str">
        <f>IFERROR(IF(J57="","",INDEX(Conversions!$C$4:$I$10,MATCH($K57,Conversions!$B$4:$B$10,0),MATCH($L57,Conversions!$C$3:$I$3,0))),1)</f>
        <v/>
      </c>
      <c r="N57" s="342" t="str" cm="1">
        <f t="array" ref="N57">IF(J57="","",_xlfn.XLOOKUP(H57&amp;J57,'Emission Factors'!$M$353:$M$382&amp;'Emission Factors'!$U$353:$U$382,'Emission Factors'!$T$353:$T$382)*M57)</f>
        <v/>
      </c>
      <c r="O57" s="341" t="str">
        <f t="shared" si="12"/>
        <v/>
      </c>
      <c r="P57" s="144" t="str">
        <f t="shared" si="8"/>
        <v/>
      </c>
      <c r="Q57" s="340" t="str">
        <f>IF(J57="","",_xlfn.XLOOKUP(H57,'Emission Factors'!$M:$M,'Emission Factors'!$W:$W))</f>
        <v/>
      </c>
      <c r="R57" s="188"/>
      <c r="S57" s="67"/>
      <c r="T57" s="303" t="str">
        <f t="shared" si="9"/>
        <v/>
      </c>
      <c r="U57" s="303" t="str" cm="1">
        <f t="array" ref="U57">IF(J57="","",_xlfn.XLOOKUP(G57&amp;K57,'Emission Factors'!$K$432:$K$787&amp;'Emission Factors'!$U$432:$U$787,'Emission Factors'!$U$432:$U$787))</f>
        <v/>
      </c>
      <c r="V57" s="332" t="str">
        <f>IFERROR(IF(J57="","",INDEX(Conversions!$C$4:$I$10,MATCH($T57,Conversions!$B$4:$B$10,0),MATCH($U57,Conversions!$C$3:$I$3,0))),1)</f>
        <v/>
      </c>
      <c r="W57" s="309" t="str">
        <f>IF(J57="","",_xlfn.XLOOKUP(H57,'Emission Factors'!$M$432:$M$787,'Emission Factors'!$S$432:$S$787)*V57)</f>
        <v/>
      </c>
      <c r="X57" s="305" t="str">
        <f t="shared" si="13"/>
        <v/>
      </c>
      <c r="Y57" s="129" t="str">
        <f t="shared" si="10"/>
        <v/>
      </c>
      <c r="Z57" s="303" t="str">
        <f>IF(J57="","",_xlfn.XLOOKUP(H57,'Emission Factors'!$M$432:$M$787,'Emission Factors'!$W$432:$W$787))</f>
        <v/>
      </c>
      <c r="AA57" s="67"/>
      <c r="AB57" s="151"/>
    </row>
    <row r="58" spans="2:28">
      <c r="B58" s="166"/>
      <c r="C58" s="173"/>
      <c r="D58" s="103"/>
      <c r="E58" s="104"/>
      <c r="F58" s="103"/>
      <c r="G58" s="103"/>
      <c r="H58" s="186" t="str">
        <f t="shared" si="6"/>
        <v/>
      </c>
      <c r="I58" s="143"/>
      <c r="J58" s="103"/>
      <c r="K58" s="187" t="str">
        <f t="shared" si="11"/>
        <v/>
      </c>
      <c r="L58" s="340" t="str" cm="1">
        <f t="array" ref="L58">IF(J58="","",_xlfn.XLOOKUP(H58&amp;J58,'Emission Factors'!$M$353:$M$382&amp;'Emission Factors'!$U$353:$U$382,'Emission Factors'!$U$353:$U$382))</f>
        <v/>
      </c>
      <c r="M58" s="341" t="str">
        <f>IFERROR(IF(J58="","",INDEX(Conversions!$C$4:$I$10,MATCH($K58,Conversions!$B$4:$B$10,0),MATCH($L58,Conversions!$C$3:$I$3,0))),1)</f>
        <v/>
      </c>
      <c r="N58" s="342" t="str" cm="1">
        <f t="array" ref="N58">IF(J58="","",_xlfn.XLOOKUP(H58&amp;J58,'Emission Factors'!$M$353:$M$382&amp;'Emission Factors'!$U$353:$U$382,'Emission Factors'!$T$353:$T$382)*M58)</f>
        <v/>
      </c>
      <c r="O58" s="341" t="str">
        <f t="shared" si="12"/>
        <v/>
      </c>
      <c r="P58" s="144" t="str">
        <f t="shared" si="8"/>
        <v/>
      </c>
      <c r="Q58" s="340" t="str">
        <f>IF(J58="","",_xlfn.XLOOKUP(H58,'Emission Factors'!$M:$M,'Emission Factors'!$W:$W))</f>
        <v/>
      </c>
      <c r="R58" s="188"/>
      <c r="S58" s="67"/>
      <c r="T58" s="303" t="str">
        <f t="shared" si="9"/>
        <v/>
      </c>
      <c r="U58" s="303" t="str" cm="1">
        <f t="array" ref="U58">IF(J58="","",_xlfn.XLOOKUP(G58&amp;K58,'Emission Factors'!$K$432:$K$787&amp;'Emission Factors'!$U$432:$U$787,'Emission Factors'!$U$432:$U$787))</f>
        <v/>
      </c>
      <c r="V58" s="332" t="str">
        <f>IFERROR(IF(J58="","",INDEX(Conversions!$C$4:$I$10,MATCH($T58,Conversions!$B$4:$B$10,0),MATCH($U58,Conversions!$C$3:$I$3,0))),1)</f>
        <v/>
      </c>
      <c r="W58" s="309" t="str">
        <f>IF(J58="","",_xlfn.XLOOKUP(H58,'Emission Factors'!$M$432:$M$787,'Emission Factors'!$S$432:$S$787)*V58)</f>
        <v/>
      </c>
      <c r="X58" s="305" t="str">
        <f t="shared" si="13"/>
        <v/>
      </c>
      <c r="Y58" s="129" t="str">
        <f t="shared" si="10"/>
        <v/>
      </c>
      <c r="Z58" s="303" t="str">
        <f>IF(J58="","",_xlfn.XLOOKUP(H58,'Emission Factors'!$M$432:$M$787,'Emission Factors'!$W$432:$W$787))</f>
        <v/>
      </c>
      <c r="AA58" s="67"/>
      <c r="AB58" s="151"/>
    </row>
    <row r="59" spans="2:28">
      <c r="B59" s="166"/>
      <c r="C59" s="173"/>
      <c r="D59" s="103"/>
      <c r="E59" s="104"/>
      <c r="F59" s="103"/>
      <c r="G59" s="103"/>
      <c r="H59" s="186" t="str">
        <f t="shared" si="6"/>
        <v/>
      </c>
      <c r="I59" s="143"/>
      <c r="J59" s="103"/>
      <c r="K59" s="187" t="str">
        <f t="shared" si="11"/>
        <v/>
      </c>
      <c r="L59" s="340" t="str" cm="1">
        <f t="array" ref="L59">IF(J59="","",_xlfn.XLOOKUP(H59&amp;J59,'Emission Factors'!$M$353:$M$382&amp;'Emission Factors'!$U$353:$U$382,'Emission Factors'!$U$353:$U$382))</f>
        <v/>
      </c>
      <c r="M59" s="341" t="str">
        <f>IFERROR(IF(J59="","",INDEX(Conversions!$C$4:$I$10,MATCH($K59,Conversions!$B$4:$B$10,0),MATCH($L59,Conversions!$C$3:$I$3,0))),1)</f>
        <v/>
      </c>
      <c r="N59" s="342" t="str" cm="1">
        <f t="array" ref="N59">IF(J59="","",_xlfn.XLOOKUP(H59&amp;J59,'Emission Factors'!$M$353:$M$382&amp;'Emission Factors'!$U$353:$U$382,'Emission Factors'!$T$353:$T$382)*M59)</f>
        <v/>
      </c>
      <c r="O59" s="341" t="str">
        <f t="shared" si="12"/>
        <v/>
      </c>
      <c r="P59" s="144" t="str">
        <f t="shared" si="8"/>
        <v/>
      </c>
      <c r="Q59" s="340" t="str">
        <f>IF(J59="","",_xlfn.XLOOKUP(H59,'Emission Factors'!$M:$M,'Emission Factors'!$W:$W))</f>
        <v/>
      </c>
      <c r="R59" s="188"/>
      <c r="S59" s="67"/>
      <c r="T59" s="303" t="str">
        <f t="shared" si="9"/>
        <v/>
      </c>
      <c r="U59" s="303" t="str" cm="1">
        <f t="array" ref="U59">IF(J59="","",_xlfn.XLOOKUP(G59&amp;K59,'Emission Factors'!$K$432:$K$787&amp;'Emission Factors'!$U$432:$U$787,'Emission Factors'!$U$432:$U$787))</f>
        <v/>
      </c>
      <c r="V59" s="332" t="str">
        <f>IFERROR(IF(J59="","",INDEX(Conversions!$C$4:$I$10,MATCH($T59,Conversions!$B$4:$B$10,0),MATCH($U59,Conversions!$C$3:$I$3,0))),1)</f>
        <v/>
      </c>
      <c r="W59" s="309" t="str">
        <f>IF(J59="","",_xlfn.XLOOKUP(H59,'Emission Factors'!$M$432:$M$787,'Emission Factors'!$S$432:$S$787)*V59)</f>
        <v/>
      </c>
      <c r="X59" s="305" t="str">
        <f t="shared" si="13"/>
        <v/>
      </c>
      <c r="Y59" s="129" t="str">
        <f t="shared" si="10"/>
        <v/>
      </c>
      <c r="Z59" s="303" t="str">
        <f>IF(J59="","",_xlfn.XLOOKUP(H59,'Emission Factors'!$M$432:$M$787,'Emission Factors'!$W$432:$W$787))</f>
        <v/>
      </c>
      <c r="AA59" s="67"/>
      <c r="AB59" s="151"/>
    </row>
    <row r="60" spans="2:28">
      <c r="B60" s="166"/>
      <c r="C60" s="173"/>
      <c r="D60" s="103"/>
      <c r="E60" s="104"/>
      <c r="F60" s="103"/>
      <c r="G60" s="103"/>
      <c r="H60" s="186" t="str">
        <f t="shared" si="6"/>
        <v/>
      </c>
      <c r="I60" s="143"/>
      <c r="J60" s="103"/>
      <c r="K60" s="187" t="str">
        <f t="shared" si="11"/>
        <v/>
      </c>
      <c r="L60" s="340" t="str" cm="1">
        <f t="array" ref="L60">IF(J60="","",_xlfn.XLOOKUP(H60&amp;J60,'Emission Factors'!$M$353:$M$382&amp;'Emission Factors'!$U$353:$U$382,'Emission Factors'!$U$353:$U$382))</f>
        <v/>
      </c>
      <c r="M60" s="341" t="str">
        <f>IFERROR(IF(J60="","",INDEX(Conversions!$C$4:$I$10,MATCH($K60,Conversions!$B$4:$B$10,0),MATCH($L60,Conversions!$C$3:$I$3,0))),1)</f>
        <v/>
      </c>
      <c r="N60" s="342" t="str" cm="1">
        <f t="array" ref="N60">IF(J60="","",_xlfn.XLOOKUP(H60&amp;J60,'Emission Factors'!$M$353:$M$382&amp;'Emission Factors'!$U$353:$U$382,'Emission Factors'!$T$353:$T$382)*M60)</f>
        <v/>
      </c>
      <c r="O60" s="341" t="str">
        <f t="shared" si="12"/>
        <v/>
      </c>
      <c r="P60" s="144" t="str">
        <f t="shared" si="8"/>
        <v/>
      </c>
      <c r="Q60" s="340" t="str">
        <f>IF(J60="","",_xlfn.XLOOKUP(H60,'Emission Factors'!$M:$M,'Emission Factors'!$W:$W))</f>
        <v/>
      </c>
      <c r="R60" s="188"/>
      <c r="S60" s="67"/>
      <c r="T60" s="303" t="str">
        <f t="shared" si="9"/>
        <v/>
      </c>
      <c r="U60" s="303" t="str" cm="1">
        <f t="array" ref="U60">IF(J60="","",_xlfn.XLOOKUP(G60&amp;K60,'Emission Factors'!$K$432:$K$787&amp;'Emission Factors'!$U$432:$U$787,'Emission Factors'!$U$432:$U$787))</f>
        <v/>
      </c>
      <c r="V60" s="332" t="str">
        <f>IFERROR(IF(J60="","",INDEX(Conversions!$C$4:$I$10,MATCH($T60,Conversions!$B$4:$B$10,0),MATCH($U60,Conversions!$C$3:$I$3,0))),1)</f>
        <v/>
      </c>
      <c r="W60" s="309" t="str">
        <f>IF(J60="","",_xlfn.XLOOKUP(H60,'Emission Factors'!$M$432:$M$787,'Emission Factors'!$S$432:$S$787)*V60)</f>
        <v/>
      </c>
      <c r="X60" s="305" t="str">
        <f t="shared" si="13"/>
        <v/>
      </c>
      <c r="Y60" s="129" t="str">
        <f t="shared" si="10"/>
        <v/>
      </c>
      <c r="Z60" s="303" t="str">
        <f>IF(J60="","",_xlfn.XLOOKUP(H60,'Emission Factors'!$M$432:$M$787,'Emission Factors'!$W$432:$W$787))</f>
        <v/>
      </c>
      <c r="AA60" s="67"/>
      <c r="AB60" s="151"/>
    </row>
    <row r="61" spans="2:28">
      <c r="B61" s="166"/>
      <c r="C61" s="173" t="s">
        <v>174</v>
      </c>
      <c r="D61" s="103"/>
      <c r="E61" s="104"/>
      <c r="F61" s="103"/>
      <c r="G61" s="103"/>
      <c r="H61" s="186" t="str">
        <f t="shared" si="6"/>
        <v/>
      </c>
      <c r="I61" s="143"/>
      <c r="J61" s="103"/>
      <c r="K61" s="187" t="str">
        <f t="shared" si="11"/>
        <v/>
      </c>
      <c r="L61" s="340" t="str" cm="1">
        <f t="array" ref="L61">IF(J61="","",_xlfn.XLOOKUP(H61&amp;J61,'Emission Factors'!$M$353:$M$382&amp;'Emission Factors'!$U$353:$U$382,'Emission Factors'!$U$353:$U$382))</f>
        <v/>
      </c>
      <c r="M61" s="341" t="str">
        <f>IFERROR(IF(J61="","",INDEX(Conversions!$C$4:$I$10,MATCH($K61,Conversions!$B$4:$B$10,0),MATCH($L61,Conversions!$C$3:$I$3,0))),1)</f>
        <v/>
      </c>
      <c r="N61" s="342" t="str" cm="1">
        <f t="array" ref="N61">IF(J61="","",_xlfn.XLOOKUP(H61&amp;J61,'Emission Factors'!$M$353:$M$382&amp;'Emission Factors'!$U$353:$U$382,'Emission Factors'!$T$353:$T$382)*M61)</f>
        <v/>
      </c>
      <c r="O61" s="341" t="str">
        <f t="shared" si="12"/>
        <v/>
      </c>
      <c r="P61" s="144" t="str">
        <f t="shared" si="8"/>
        <v/>
      </c>
      <c r="Q61" s="340" t="str">
        <f>IF(J61="","",_xlfn.XLOOKUP(H61,'Emission Factors'!$M:$M,'Emission Factors'!$W:$W))</f>
        <v/>
      </c>
      <c r="R61" s="188"/>
      <c r="S61" s="67"/>
      <c r="T61" s="303" t="str">
        <f t="shared" si="9"/>
        <v/>
      </c>
      <c r="U61" s="303" t="str" cm="1">
        <f t="array" ref="U61">IF(J61="","",_xlfn.XLOOKUP(G61&amp;K61,'Emission Factors'!$K$432:$K$787&amp;'Emission Factors'!$U$432:$U$787,'Emission Factors'!$U$432:$U$787))</f>
        <v/>
      </c>
      <c r="V61" s="332" t="str">
        <f>IFERROR(IF(J61="","",INDEX(Conversions!$C$4:$I$10,MATCH($T61,Conversions!$B$4:$B$10,0),MATCH($U61,Conversions!$C$3:$I$3,0))),1)</f>
        <v/>
      </c>
      <c r="W61" s="309" t="str">
        <f>IF(J61="","",_xlfn.XLOOKUP(H61,'Emission Factors'!$M$432:$M$787,'Emission Factors'!$S$432:$S$787)*V61)</f>
        <v/>
      </c>
      <c r="X61" s="305" t="str">
        <f t="shared" si="13"/>
        <v/>
      </c>
      <c r="Y61" s="129" t="str">
        <f t="shared" si="10"/>
        <v/>
      </c>
      <c r="Z61" s="303" t="str">
        <f>IF(J61="","",_xlfn.XLOOKUP(H61,'Emission Factors'!$M$432:$M$787,'Emission Factors'!$W$432:$W$787))</f>
        <v/>
      </c>
      <c r="AA61" s="67"/>
      <c r="AB61" s="151"/>
    </row>
    <row r="62" spans="2:28">
      <c r="B62" s="166"/>
      <c r="C62" s="173"/>
      <c r="D62" s="67"/>
      <c r="E62" s="67"/>
      <c r="F62" s="67"/>
      <c r="G62" s="67"/>
      <c r="H62" s="67"/>
      <c r="I62" s="67"/>
      <c r="J62" s="67"/>
      <c r="K62" s="67"/>
      <c r="L62" s="67"/>
      <c r="M62" s="67"/>
      <c r="N62" s="67"/>
      <c r="O62" s="67"/>
      <c r="P62" s="67"/>
      <c r="Q62" s="67"/>
      <c r="R62" s="67"/>
      <c r="S62" s="67"/>
      <c r="T62" s="67"/>
      <c r="U62" s="67"/>
      <c r="V62" s="67"/>
      <c r="W62" s="67"/>
      <c r="X62" s="67"/>
      <c r="Y62" s="67"/>
      <c r="Z62" s="67"/>
      <c r="AA62" s="67"/>
      <c r="AB62" s="151"/>
    </row>
    <row r="63" spans="2:28" ht="15.75">
      <c r="B63" s="166"/>
      <c r="C63" s="173"/>
      <c r="D63" s="312" t="str">
        <f>'V3 - Downstream Transport'!D62</f>
        <v>Samanlagt</v>
      </c>
      <c r="E63" s="175"/>
      <c r="F63" s="175"/>
      <c r="G63" s="175"/>
      <c r="H63" s="175"/>
      <c r="I63" s="175"/>
      <c r="J63" s="175"/>
      <c r="K63" s="175"/>
      <c r="L63" s="175"/>
      <c r="M63" s="175"/>
      <c r="N63" s="175"/>
      <c r="O63" s="175"/>
      <c r="P63" s="176">
        <f>SUM($P$31:$P$61)</f>
        <v>0</v>
      </c>
      <c r="Q63" s="175"/>
      <c r="R63" s="175"/>
      <c r="S63" s="67"/>
      <c r="T63" s="82"/>
      <c r="U63" s="82"/>
      <c r="V63" s="82"/>
      <c r="W63" s="82"/>
      <c r="X63" s="82"/>
      <c r="Y63" s="117">
        <f>SUM($Y$31:$Y$61)</f>
        <v>0</v>
      </c>
      <c r="Z63" s="82"/>
      <c r="AA63" s="67"/>
      <c r="AB63" s="151"/>
    </row>
    <row r="64" spans="2:28" hidden="1">
      <c r="B64" s="166"/>
      <c r="C64" s="173"/>
      <c r="D64" s="67"/>
      <c r="E64" s="67"/>
      <c r="F64" s="67"/>
      <c r="G64" s="67"/>
      <c r="H64" s="67"/>
      <c r="I64" s="67"/>
      <c r="J64" s="67"/>
      <c r="K64" s="67"/>
      <c r="L64" s="67"/>
      <c r="M64" s="67"/>
      <c r="N64" s="67"/>
      <c r="O64" s="67"/>
      <c r="P64" s="67"/>
      <c r="Q64" s="67"/>
      <c r="R64" s="67"/>
      <c r="S64" s="67"/>
      <c r="T64" s="67"/>
      <c r="U64" s="67"/>
      <c r="V64" s="67"/>
      <c r="W64" s="67"/>
      <c r="X64" s="67"/>
      <c r="Y64" s="67"/>
      <c r="Z64" s="67"/>
      <c r="AA64" s="67"/>
      <c r="AB64" s="151"/>
    </row>
    <row r="65" spans="2:28" ht="15" hidden="1">
      <c r="B65" s="166"/>
      <c r="C65" s="173"/>
      <c r="D65" s="86" t="s">
        <v>209</v>
      </c>
      <c r="E65" s="67"/>
      <c r="F65" s="67"/>
      <c r="G65" s="67"/>
      <c r="H65" s="67"/>
      <c r="I65" s="67"/>
      <c r="J65" s="67"/>
      <c r="K65" s="67"/>
      <c r="L65" s="67"/>
      <c r="M65" s="67"/>
      <c r="N65" s="67"/>
      <c r="O65" s="67"/>
      <c r="P65" s="67"/>
      <c r="Q65" s="67"/>
      <c r="R65" s="67"/>
      <c r="S65" s="67"/>
      <c r="T65" s="67"/>
      <c r="U65" s="67"/>
      <c r="V65" s="67"/>
      <c r="W65" s="67"/>
      <c r="X65" s="67"/>
      <c r="Y65" s="67"/>
      <c r="Z65" s="67"/>
      <c r="AA65" s="67"/>
      <c r="AB65" s="151"/>
    </row>
    <row r="66" spans="2:28" ht="48.6" hidden="1" customHeight="1">
      <c r="B66" s="166"/>
      <c r="C66" s="173"/>
      <c r="D66" s="159" t="s">
        <v>210</v>
      </c>
      <c r="E66" s="159" t="s">
        <v>211</v>
      </c>
      <c r="F66" s="159" t="s">
        <v>269</v>
      </c>
      <c r="G66" s="159" t="s">
        <v>230</v>
      </c>
      <c r="H66" s="159" t="s">
        <v>185</v>
      </c>
      <c r="I66" s="159" t="s">
        <v>213</v>
      </c>
      <c r="J66" s="159" t="s">
        <v>214</v>
      </c>
      <c r="K66" s="159" t="s">
        <v>186</v>
      </c>
      <c r="L66" s="159" t="s">
        <v>187</v>
      </c>
      <c r="M66" s="159" t="s">
        <v>188</v>
      </c>
      <c r="N66" s="159" t="s">
        <v>215</v>
      </c>
      <c r="O66" s="159" t="s">
        <v>216</v>
      </c>
      <c r="P66" s="159" t="s">
        <v>217</v>
      </c>
      <c r="Q66" s="159" t="s">
        <v>218</v>
      </c>
      <c r="R66" s="159" t="s">
        <v>219</v>
      </c>
      <c r="S66" s="67"/>
      <c r="T66" s="159" t="s">
        <v>186</v>
      </c>
      <c r="U66" s="159" t="s">
        <v>187</v>
      </c>
      <c r="V66" s="159" t="s">
        <v>188</v>
      </c>
      <c r="W66" s="159" t="s">
        <v>215</v>
      </c>
      <c r="X66" s="159" t="s">
        <v>216</v>
      </c>
      <c r="Y66" s="159" t="s">
        <v>217</v>
      </c>
      <c r="Z66" s="159" t="s">
        <v>218</v>
      </c>
      <c r="AA66" s="67"/>
      <c r="AB66" s="151"/>
    </row>
    <row r="67" spans="2:28" hidden="1">
      <c r="B67" s="166"/>
      <c r="C67" s="173"/>
      <c r="D67" s="123"/>
      <c r="E67" s="130"/>
      <c r="F67" s="130"/>
      <c r="G67" s="130"/>
      <c r="H67" s="108" t="str">
        <f t="shared" ref="H67:H97" si="14">G67&amp;F67</f>
        <v/>
      </c>
      <c r="I67" s="189"/>
      <c r="J67" s="130"/>
      <c r="K67" s="108" t="str">
        <f t="shared" ref="K67:K97" si="15">IF(J67="","",J67)</f>
        <v/>
      </c>
      <c r="L67" s="108"/>
      <c r="M67" s="109"/>
      <c r="N67" s="190"/>
      <c r="O67" s="191"/>
      <c r="P67" s="192" t="str">
        <f t="shared" ref="P67:P97" si="16">IF(ISBLANK(I67)=TRUE,"",IF(ISBLANK(N67)=TRUE,"",I67*N67)/1000)</f>
        <v/>
      </c>
      <c r="Q67" s="191"/>
      <c r="R67" s="191"/>
      <c r="S67" s="67"/>
      <c r="T67" s="108" t="str">
        <f>K67</f>
        <v/>
      </c>
      <c r="U67" s="108" t="str">
        <f>IF(J67="","",_xlfn.XLOOKUP(H67,'Emission Factors'!$M$432:$M$787,'Emission Factors'!$U$432:$U$787))</f>
        <v/>
      </c>
      <c r="V67" s="109" t="str">
        <f>IF(J67="","",INDEX(Conversions!$C$4:$I$10,MATCH('V1 - Fuels (Stationary)'!$T66,Conversions!$B$4:$B$10,0),MATCH('V1 - Fuels (Stationary)'!$U66,Conversions!$C$3:$I$3,0)))</f>
        <v/>
      </c>
      <c r="W67" s="127" t="str">
        <f>IF(J67="","",_xlfn.XLOOKUP(H67,'Emission Factors'!$M$432:$M$787,'Emission Factors'!$S$432:$S$787)*V67)</f>
        <v/>
      </c>
      <c r="X67" s="109" t="str">
        <f>IF(J67="","","kgCO2e/"&amp;T67)</f>
        <v/>
      </c>
      <c r="Y67" s="193" t="str">
        <f>IF(ISBLANK(I67)=TRUE,"",IF(ISBLANK(W67)=TRUE,"",I67*W67)/1000)</f>
        <v/>
      </c>
      <c r="Z67" s="108" t="str">
        <f>IF(J67="","",_xlfn.XLOOKUP(H67,'Emission Factors'!$M$432:$M$787,'Emission Factors'!$W$432:$W$787))</f>
        <v/>
      </c>
      <c r="AA67" s="67"/>
      <c r="AB67" s="151"/>
    </row>
    <row r="68" spans="2:28" hidden="1">
      <c r="B68" s="166"/>
      <c r="C68" s="173"/>
      <c r="D68" s="123"/>
      <c r="E68" s="130"/>
      <c r="F68" s="130"/>
      <c r="G68" s="130"/>
      <c r="H68" s="108" t="str">
        <f t="shared" si="14"/>
        <v/>
      </c>
      <c r="I68" s="189"/>
      <c r="J68" s="130"/>
      <c r="K68" s="108" t="str">
        <f t="shared" si="15"/>
        <v/>
      </c>
      <c r="L68" s="108"/>
      <c r="M68" s="109"/>
      <c r="N68" s="190"/>
      <c r="O68" s="191"/>
      <c r="P68" s="192" t="str">
        <f t="shared" si="16"/>
        <v/>
      </c>
      <c r="Q68" s="191"/>
      <c r="R68" s="191"/>
      <c r="S68" s="67"/>
      <c r="T68" s="108" t="str">
        <f t="shared" ref="T68:T97" si="17">K68</f>
        <v/>
      </c>
      <c r="U68" s="108" t="str">
        <f>IF(J68="","",_xlfn.XLOOKUP(H68,'Emission Factors'!$M$432:$M$787,'Emission Factors'!$U$432:$U$787))</f>
        <v/>
      </c>
      <c r="V68" s="109" t="str">
        <f>IF(J68="","",INDEX(Conversions!$C$4:$I$10,MATCH('V1 - Fuels (Stationary)'!$T67,Conversions!$B$4:$B$10,0),MATCH('V1 - Fuels (Stationary)'!$U67,Conversions!$C$3:$I$3,0)))</f>
        <v/>
      </c>
      <c r="W68" s="127" t="str">
        <f>IF(J68="","",_xlfn.XLOOKUP(H68,'Emission Factors'!$M$432:$M$787,'Emission Factors'!$S$432:$S$787)*V68)</f>
        <v/>
      </c>
      <c r="X68" s="109" t="str">
        <f t="shared" ref="X68:X97" si="18">IF(J68="","","kgCO2e/"&amp;T68)</f>
        <v/>
      </c>
      <c r="Y68" s="193" t="str">
        <f t="shared" ref="Y68:Y97" si="19">IF(ISBLANK(I68)=TRUE,"",IF(ISBLANK(W68)=TRUE,"",I68*W68)/1000)</f>
        <v/>
      </c>
      <c r="Z68" s="108" t="str">
        <f>IF(J68="","",_xlfn.XLOOKUP(H68,'Emission Factors'!$M$432:$M$787,'Emission Factors'!$W$432:$W$787))</f>
        <v/>
      </c>
      <c r="AA68" s="67"/>
      <c r="AB68" s="151"/>
    </row>
    <row r="69" spans="2:28" hidden="1">
      <c r="B69" s="166"/>
      <c r="C69" s="173"/>
      <c r="D69" s="123"/>
      <c r="E69" s="130"/>
      <c r="F69" s="130"/>
      <c r="G69" s="130"/>
      <c r="H69" s="108" t="str">
        <f t="shared" si="14"/>
        <v/>
      </c>
      <c r="I69" s="189"/>
      <c r="J69" s="130"/>
      <c r="K69" s="108" t="str">
        <f t="shared" si="15"/>
        <v/>
      </c>
      <c r="L69" s="108"/>
      <c r="M69" s="109"/>
      <c r="N69" s="190"/>
      <c r="O69" s="191"/>
      <c r="P69" s="192" t="str">
        <f t="shared" si="16"/>
        <v/>
      </c>
      <c r="Q69" s="191"/>
      <c r="R69" s="191"/>
      <c r="S69" s="67"/>
      <c r="T69" s="108" t="str">
        <f t="shared" si="17"/>
        <v/>
      </c>
      <c r="U69" s="108" t="str">
        <f>IF(J69="","",_xlfn.XLOOKUP(H69,'Emission Factors'!$M$432:$M$787,'Emission Factors'!$U$432:$U$787))</f>
        <v/>
      </c>
      <c r="V69" s="109" t="str">
        <f>IF(J69="","",INDEX(Conversions!$C$4:$I$10,MATCH('V1 - Fuels (Stationary)'!$T68,Conversions!$B$4:$B$10,0),MATCH('V1 - Fuels (Stationary)'!$U68,Conversions!$C$3:$I$3,0)))</f>
        <v/>
      </c>
      <c r="W69" s="127" t="str">
        <f>IF(J69="","",_xlfn.XLOOKUP(H69,'Emission Factors'!$M$432:$M$787,'Emission Factors'!$S$432:$S$787)*V69)</f>
        <v/>
      </c>
      <c r="X69" s="109" t="str">
        <f t="shared" si="18"/>
        <v/>
      </c>
      <c r="Y69" s="193" t="str">
        <f t="shared" si="19"/>
        <v/>
      </c>
      <c r="Z69" s="108" t="str">
        <f>IF(J69="","",_xlfn.XLOOKUP(H69,'Emission Factors'!$M$432:$M$787,'Emission Factors'!$W$432:$W$787))</f>
        <v/>
      </c>
      <c r="AA69" s="67"/>
      <c r="AB69" s="151"/>
    </row>
    <row r="70" spans="2:28" hidden="1">
      <c r="B70" s="166"/>
      <c r="C70" s="173"/>
      <c r="D70" s="123"/>
      <c r="E70" s="130"/>
      <c r="F70" s="130"/>
      <c r="G70" s="130"/>
      <c r="H70" s="108" t="str">
        <f t="shared" si="14"/>
        <v/>
      </c>
      <c r="I70" s="189"/>
      <c r="J70" s="130"/>
      <c r="K70" s="108" t="str">
        <f t="shared" si="15"/>
        <v/>
      </c>
      <c r="L70" s="108"/>
      <c r="M70" s="109"/>
      <c r="N70" s="190"/>
      <c r="O70" s="191"/>
      <c r="P70" s="192" t="str">
        <f t="shared" si="16"/>
        <v/>
      </c>
      <c r="Q70" s="191"/>
      <c r="R70" s="191"/>
      <c r="S70" s="67"/>
      <c r="T70" s="108" t="str">
        <f t="shared" si="17"/>
        <v/>
      </c>
      <c r="U70" s="108" t="str">
        <f>IF(J70="","",_xlfn.XLOOKUP(H70,'Emission Factors'!$M$432:$M$787,'Emission Factors'!$U$432:$U$787))</f>
        <v/>
      </c>
      <c r="V70" s="109" t="str">
        <f>IF(J70="","",INDEX(Conversions!$C$4:$I$10,MATCH('V1 - Fuels (Stationary)'!$T69,Conversions!$B$4:$B$10,0),MATCH('V1 - Fuels (Stationary)'!$U69,Conversions!$C$3:$I$3,0)))</f>
        <v/>
      </c>
      <c r="W70" s="127" t="str">
        <f>IF(J70="","",_xlfn.XLOOKUP(H70,'Emission Factors'!$M$432:$M$787,'Emission Factors'!$S$432:$S$787)*V70)</f>
        <v/>
      </c>
      <c r="X70" s="109" t="str">
        <f t="shared" si="18"/>
        <v/>
      </c>
      <c r="Y70" s="193" t="str">
        <f t="shared" si="19"/>
        <v/>
      </c>
      <c r="Z70" s="108" t="str">
        <f>IF(J70="","",_xlfn.XLOOKUP(H70,'Emission Factors'!$M$432:$M$787,'Emission Factors'!$W$432:$W$787))</f>
        <v/>
      </c>
      <c r="AA70" s="67"/>
      <c r="AB70" s="151"/>
    </row>
    <row r="71" spans="2:28" hidden="1">
      <c r="B71" s="166"/>
      <c r="C71" s="173"/>
      <c r="D71" s="123"/>
      <c r="E71" s="130"/>
      <c r="F71" s="130"/>
      <c r="G71" s="130"/>
      <c r="H71" s="108" t="str">
        <f t="shared" si="14"/>
        <v/>
      </c>
      <c r="I71" s="189"/>
      <c r="J71" s="130"/>
      <c r="K71" s="108" t="str">
        <f t="shared" si="15"/>
        <v/>
      </c>
      <c r="L71" s="108"/>
      <c r="M71" s="109"/>
      <c r="N71" s="190"/>
      <c r="O71" s="191"/>
      <c r="P71" s="192" t="str">
        <f t="shared" si="16"/>
        <v/>
      </c>
      <c r="Q71" s="191"/>
      <c r="R71" s="191"/>
      <c r="S71" s="67"/>
      <c r="T71" s="108" t="str">
        <f t="shared" si="17"/>
        <v/>
      </c>
      <c r="U71" s="108" t="str">
        <f>IF(J71="","",_xlfn.XLOOKUP(H71,'Emission Factors'!$M$432:$M$787,'Emission Factors'!$U$432:$U$787))</f>
        <v/>
      </c>
      <c r="V71" s="109" t="str">
        <f>IF(J71="","",INDEX(Conversions!$C$4:$I$10,MATCH('V1 - Fuels (Stationary)'!$T70,Conversions!$B$4:$B$10,0),MATCH('V1 - Fuels (Stationary)'!$U70,Conversions!$C$3:$I$3,0)))</f>
        <v/>
      </c>
      <c r="W71" s="127" t="str">
        <f>IF(J71="","",_xlfn.XLOOKUP(H71,'Emission Factors'!$M$432:$M$787,'Emission Factors'!$S$432:$S$787)*V71)</f>
        <v/>
      </c>
      <c r="X71" s="109" t="str">
        <f t="shared" si="18"/>
        <v/>
      </c>
      <c r="Y71" s="193" t="str">
        <f t="shared" si="19"/>
        <v/>
      </c>
      <c r="Z71" s="108" t="str">
        <f>IF(J71="","",_xlfn.XLOOKUP(H71,'Emission Factors'!$M$432:$M$787,'Emission Factors'!$W$432:$W$787))</f>
        <v/>
      </c>
      <c r="AA71" s="67"/>
      <c r="AB71" s="151"/>
    </row>
    <row r="72" spans="2:28" hidden="1">
      <c r="B72" s="166"/>
      <c r="C72" s="173"/>
      <c r="D72" s="123"/>
      <c r="E72" s="130"/>
      <c r="F72" s="130"/>
      <c r="G72" s="130"/>
      <c r="H72" s="108" t="str">
        <f t="shared" si="14"/>
        <v/>
      </c>
      <c r="I72" s="189"/>
      <c r="J72" s="130"/>
      <c r="K72" s="108" t="str">
        <f t="shared" si="15"/>
        <v/>
      </c>
      <c r="L72" s="108"/>
      <c r="M72" s="109"/>
      <c r="N72" s="190"/>
      <c r="O72" s="191"/>
      <c r="P72" s="192" t="str">
        <f t="shared" si="16"/>
        <v/>
      </c>
      <c r="Q72" s="191"/>
      <c r="R72" s="191"/>
      <c r="S72" s="67"/>
      <c r="T72" s="108" t="str">
        <f t="shared" si="17"/>
        <v/>
      </c>
      <c r="U72" s="108" t="str">
        <f>IF(J72="","",_xlfn.XLOOKUP(H72,'Emission Factors'!$M$432:$M$787,'Emission Factors'!$U$432:$U$787))</f>
        <v/>
      </c>
      <c r="V72" s="109" t="str">
        <f>IF(J72="","",INDEX(Conversions!$C$4:$I$10,MATCH('V1 - Fuels (Stationary)'!$T71,Conversions!$B$4:$B$10,0),MATCH('V1 - Fuels (Stationary)'!$U71,Conversions!$C$3:$I$3,0)))</f>
        <v/>
      </c>
      <c r="W72" s="127" t="str">
        <f>IF(J72="","",_xlfn.XLOOKUP(H72,'Emission Factors'!$M$432:$M$787,'Emission Factors'!$S$432:$S$787)*V72)</f>
        <v/>
      </c>
      <c r="X72" s="109" t="str">
        <f t="shared" si="18"/>
        <v/>
      </c>
      <c r="Y72" s="193" t="str">
        <f t="shared" si="19"/>
        <v/>
      </c>
      <c r="Z72" s="108" t="str">
        <f>IF(J72="","",_xlfn.XLOOKUP(H72,'Emission Factors'!$M$432:$M$787,'Emission Factors'!$W$432:$W$787))</f>
        <v/>
      </c>
      <c r="AA72" s="67"/>
      <c r="AB72" s="151"/>
    </row>
    <row r="73" spans="2:28" hidden="1">
      <c r="B73" s="166"/>
      <c r="C73" s="173"/>
      <c r="D73" s="123"/>
      <c r="E73" s="130"/>
      <c r="F73" s="130"/>
      <c r="G73" s="130"/>
      <c r="H73" s="108" t="str">
        <f t="shared" si="14"/>
        <v/>
      </c>
      <c r="I73" s="189"/>
      <c r="J73" s="130"/>
      <c r="K73" s="108" t="str">
        <f t="shared" si="15"/>
        <v/>
      </c>
      <c r="L73" s="108"/>
      <c r="M73" s="109"/>
      <c r="N73" s="190"/>
      <c r="O73" s="191"/>
      <c r="P73" s="192" t="str">
        <f t="shared" si="16"/>
        <v/>
      </c>
      <c r="Q73" s="191"/>
      <c r="R73" s="191"/>
      <c r="S73" s="67"/>
      <c r="T73" s="108" t="str">
        <f t="shared" si="17"/>
        <v/>
      </c>
      <c r="U73" s="108" t="str">
        <f>IF(J73="","",_xlfn.XLOOKUP(H73,'Emission Factors'!$M$432:$M$787,'Emission Factors'!$U$432:$U$787))</f>
        <v/>
      </c>
      <c r="V73" s="109" t="str">
        <f>IF(J73="","",INDEX(Conversions!$C$4:$I$10,MATCH('V1 - Fuels (Stationary)'!$T72,Conversions!$B$4:$B$10,0),MATCH('V1 - Fuels (Stationary)'!$U72,Conversions!$C$3:$I$3,0)))</f>
        <v/>
      </c>
      <c r="W73" s="127" t="str">
        <f>IF(J73="","",_xlfn.XLOOKUP(H73,'Emission Factors'!$M$432:$M$787,'Emission Factors'!$S$432:$S$787)*V73)</f>
        <v/>
      </c>
      <c r="X73" s="109" t="str">
        <f t="shared" si="18"/>
        <v/>
      </c>
      <c r="Y73" s="193" t="str">
        <f t="shared" si="19"/>
        <v/>
      </c>
      <c r="Z73" s="108" t="str">
        <f>IF(J73="","",_xlfn.XLOOKUP(H73,'Emission Factors'!$M$432:$M$787,'Emission Factors'!$W$432:$W$787))</f>
        <v/>
      </c>
      <c r="AA73" s="67"/>
      <c r="AB73" s="151"/>
    </row>
    <row r="74" spans="2:28" hidden="1">
      <c r="B74" s="166"/>
      <c r="C74" s="173"/>
      <c r="D74" s="123"/>
      <c r="E74" s="130"/>
      <c r="F74" s="130"/>
      <c r="G74" s="130"/>
      <c r="H74" s="108" t="str">
        <f t="shared" si="14"/>
        <v/>
      </c>
      <c r="I74" s="189"/>
      <c r="J74" s="130"/>
      <c r="K74" s="108" t="str">
        <f t="shared" si="15"/>
        <v/>
      </c>
      <c r="L74" s="108"/>
      <c r="M74" s="109"/>
      <c r="N74" s="190"/>
      <c r="O74" s="191"/>
      <c r="P74" s="192" t="str">
        <f t="shared" si="16"/>
        <v/>
      </c>
      <c r="Q74" s="191"/>
      <c r="R74" s="191"/>
      <c r="S74" s="67"/>
      <c r="T74" s="108" t="str">
        <f t="shared" si="17"/>
        <v/>
      </c>
      <c r="U74" s="108" t="str">
        <f>IF(J74="","",_xlfn.XLOOKUP(H74,'Emission Factors'!$M$432:$M$787,'Emission Factors'!$U$432:$U$787))</f>
        <v/>
      </c>
      <c r="V74" s="109" t="str">
        <f>IF(J74="","",INDEX(Conversions!$C$4:$I$10,MATCH('V1 - Fuels (Stationary)'!$T73,Conversions!$B$4:$B$10,0),MATCH('V1 - Fuels (Stationary)'!$U73,Conversions!$C$3:$I$3,0)))</f>
        <v/>
      </c>
      <c r="W74" s="127" t="str">
        <f>IF(J74="","",_xlfn.XLOOKUP(H74,'Emission Factors'!$M$432:$M$787,'Emission Factors'!$S$432:$S$787)*V74)</f>
        <v/>
      </c>
      <c r="X74" s="109" t="str">
        <f t="shared" si="18"/>
        <v/>
      </c>
      <c r="Y74" s="193" t="str">
        <f t="shared" si="19"/>
        <v/>
      </c>
      <c r="Z74" s="108" t="str">
        <f>IF(J74="","",_xlfn.XLOOKUP(H74,'Emission Factors'!$M$432:$M$787,'Emission Factors'!$W$432:$W$787))</f>
        <v/>
      </c>
      <c r="AA74" s="67"/>
      <c r="AB74" s="151"/>
    </row>
    <row r="75" spans="2:28" hidden="1">
      <c r="B75" s="166"/>
      <c r="C75" s="173"/>
      <c r="D75" s="123"/>
      <c r="E75" s="130"/>
      <c r="F75" s="130"/>
      <c r="G75" s="130"/>
      <c r="H75" s="108" t="str">
        <f t="shared" si="14"/>
        <v/>
      </c>
      <c r="I75" s="189"/>
      <c r="J75" s="130"/>
      <c r="K75" s="108" t="str">
        <f t="shared" si="15"/>
        <v/>
      </c>
      <c r="L75" s="108"/>
      <c r="M75" s="109"/>
      <c r="N75" s="190"/>
      <c r="O75" s="191"/>
      <c r="P75" s="192" t="str">
        <f t="shared" si="16"/>
        <v/>
      </c>
      <c r="Q75" s="191"/>
      <c r="R75" s="191"/>
      <c r="S75" s="67"/>
      <c r="T75" s="108" t="str">
        <f t="shared" si="17"/>
        <v/>
      </c>
      <c r="U75" s="108" t="str">
        <f>IF(J75="","",_xlfn.XLOOKUP(H75,'Emission Factors'!$M$432:$M$787,'Emission Factors'!$U$432:$U$787))</f>
        <v/>
      </c>
      <c r="V75" s="109" t="str">
        <f>IF(J75="","",INDEX(Conversions!$C$4:$I$10,MATCH('V1 - Fuels (Stationary)'!$T74,Conversions!$B$4:$B$10,0),MATCH('V1 - Fuels (Stationary)'!$U74,Conversions!$C$3:$I$3,0)))</f>
        <v/>
      </c>
      <c r="W75" s="127" t="str">
        <f>IF(J75="","",_xlfn.XLOOKUP(H75,'Emission Factors'!$M$432:$M$787,'Emission Factors'!$S$432:$S$787)*V75)</f>
        <v/>
      </c>
      <c r="X75" s="109" t="str">
        <f t="shared" si="18"/>
        <v/>
      </c>
      <c r="Y75" s="193" t="str">
        <f t="shared" si="19"/>
        <v/>
      </c>
      <c r="Z75" s="108" t="str">
        <f>IF(J75="","",_xlfn.XLOOKUP(H75,'Emission Factors'!$M$432:$M$787,'Emission Factors'!$W$432:$W$787))</f>
        <v/>
      </c>
      <c r="AA75" s="67"/>
      <c r="AB75" s="151"/>
    </row>
    <row r="76" spans="2:28" hidden="1">
      <c r="B76" s="166"/>
      <c r="C76" s="173"/>
      <c r="D76" s="123"/>
      <c r="E76" s="130"/>
      <c r="F76" s="130"/>
      <c r="G76" s="130"/>
      <c r="H76" s="108" t="str">
        <f t="shared" si="14"/>
        <v/>
      </c>
      <c r="I76" s="189"/>
      <c r="J76" s="130"/>
      <c r="K76" s="108" t="str">
        <f t="shared" si="15"/>
        <v/>
      </c>
      <c r="L76" s="108"/>
      <c r="M76" s="109"/>
      <c r="N76" s="190"/>
      <c r="O76" s="191"/>
      <c r="P76" s="192" t="str">
        <f t="shared" si="16"/>
        <v/>
      </c>
      <c r="Q76" s="191"/>
      <c r="R76" s="191"/>
      <c r="S76" s="67"/>
      <c r="T76" s="108" t="str">
        <f t="shared" si="17"/>
        <v/>
      </c>
      <c r="U76" s="108" t="str">
        <f>IF(J76="","",_xlfn.XLOOKUP(H76,'Emission Factors'!$M$432:$M$787,'Emission Factors'!$U$432:$U$787))</f>
        <v/>
      </c>
      <c r="V76" s="109" t="str">
        <f>IF(J76="","",INDEX(Conversions!$C$4:$I$10,MATCH('V1 - Fuels (Stationary)'!$T75,Conversions!$B$4:$B$10,0),MATCH('V1 - Fuels (Stationary)'!$U75,Conversions!$C$3:$I$3,0)))</f>
        <v/>
      </c>
      <c r="W76" s="127" t="str">
        <f>IF(J76="","",_xlfn.XLOOKUP(H76,'Emission Factors'!$M$432:$M$787,'Emission Factors'!$S$432:$S$787)*V76)</f>
        <v/>
      </c>
      <c r="X76" s="109" t="str">
        <f t="shared" si="18"/>
        <v/>
      </c>
      <c r="Y76" s="193" t="str">
        <f t="shared" si="19"/>
        <v/>
      </c>
      <c r="Z76" s="108" t="str">
        <f>IF(J76="","",_xlfn.XLOOKUP(H76,'Emission Factors'!$M$432:$M$787,'Emission Factors'!$W$432:$W$787))</f>
        <v/>
      </c>
      <c r="AA76" s="67"/>
      <c r="AB76" s="151"/>
    </row>
    <row r="77" spans="2:28" hidden="1">
      <c r="B77" s="166"/>
      <c r="C77" s="173"/>
      <c r="D77" s="123"/>
      <c r="E77" s="130"/>
      <c r="F77" s="130"/>
      <c r="G77" s="130"/>
      <c r="H77" s="108" t="str">
        <f t="shared" si="14"/>
        <v/>
      </c>
      <c r="I77" s="189"/>
      <c r="J77" s="130"/>
      <c r="K77" s="108" t="str">
        <f t="shared" si="15"/>
        <v/>
      </c>
      <c r="L77" s="108"/>
      <c r="M77" s="109"/>
      <c r="N77" s="190"/>
      <c r="O77" s="191"/>
      <c r="P77" s="192" t="str">
        <f t="shared" si="16"/>
        <v/>
      </c>
      <c r="Q77" s="191"/>
      <c r="R77" s="191"/>
      <c r="S77" s="67"/>
      <c r="T77" s="108" t="str">
        <f t="shared" si="17"/>
        <v/>
      </c>
      <c r="U77" s="108" t="str">
        <f>IF(J77="","",_xlfn.XLOOKUP(H77,'Emission Factors'!$M$432:$M$787,'Emission Factors'!$U$432:$U$787))</f>
        <v/>
      </c>
      <c r="V77" s="109" t="str">
        <f>IF(J77="","",INDEX(Conversions!$C$4:$I$10,MATCH('V1 - Fuels (Stationary)'!$T76,Conversions!$B$4:$B$10,0),MATCH('V1 - Fuels (Stationary)'!$U76,Conversions!$C$3:$I$3,0)))</f>
        <v/>
      </c>
      <c r="W77" s="127" t="str">
        <f>IF(J77="","",_xlfn.XLOOKUP(H77,'Emission Factors'!$M$432:$M$787,'Emission Factors'!$S$432:$S$787)*V77)</f>
        <v/>
      </c>
      <c r="X77" s="109" t="str">
        <f t="shared" si="18"/>
        <v/>
      </c>
      <c r="Y77" s="193" t="str">
        <f t="shared" si="19"/>
        <v/>
      </c>
      <c r="Z77" s="108" t="str">
        <f>IF(J77="","",_xlfn.XLOOKUP(H77,'Emission Factors'!$M$432:$M$787,'Emission Factors'!$W$432:$W$787))</f>
        <v/>
      </c>
      <c r="AA77" s="67"/>
      <c r="AB77" s="151"/>
    </row>
    <row r="78" spans="2:28" hidden="1">
      <c r="B78" s="166"/>
      <c r="C78" s="173"/>
      <c r="D78" s="123"/>
      <c r="E78" s="130"/>
      <c r="F78" s="130"/>
      <c r="G78" s="130"/>
      <c r="H78" s="108" t="str">
        <f t="shared" si="14"/>
        <v/>
      </c>
      <c r="I78" s="189"/>
      <c r="J78" s="130"/>
      <c r="K78" s="108" t="str">
        <f t="shared" si="15"/>
        <v/>
      </c>
      <c r="L78" s="108"/>
      <c r="M78" s="109"/>
      <c r="N78" s="190"/>
      <c r="O78" s="191"/>
      <c r="P78" s="192" t="str">
        <f t="shared" si="16"/>
        <v/>
      </c>
      <c r="Q78" s="191"/>
      <c r="R78" s="191"/>
      <c r="S78" s="67"/>
      <c r="T78" s="108" t="str">
        <f t="shared" si="17"/>
        <v/>
      </c>
      <c r="U78" s="108" t="str">
        <f>IF(J78="","",_xlfn.XLOOKUP(H78,'Emission Factors'!$M$432:$M$787,'Emission Factors'!$U$432:$U$787))</f>
        <v/>
      </c>
      <c r="V78" s="109" t="str">
        <f>IF(J78="","",INDEX(Conversions!$C$4:$I$10,MATCH('V1 - Fuels (Stationary)'!$T77,Conversions!$B$4:$B$10,0),MATCH('V1 - Fuels (Stationary)'!$U77,Conversions!$C$3:$I$3,0)))</f>
        <v/>
      </c>
      <c r="W78" s="127" t="str">
        <f>IF(J78="","",_xlfn.XLOOKUP(H78,'Emission Factors'!$M$432:$M$787,'Emission Factors'!$S$432:$S$787)*V78)</f>
        <v/>
      </c>
      <c r="X78" s="109" t="str">
        <f t="shared" si="18"/>
        <v/>
      </c>
      <c r="Y78" s="193" t="str">
        <f t="shared" si="19"/>
        <v/>
      </c>
      <c r="Z78" s="108" t="str">
        <f>IF(J78="","",_xlfn.XLOOKUP(H78,'Emission Factors'!$M$432:$M$787,'Emission Factors'!$W$432:$W$787))</f>
        <v/>
      </c>
      <c r="AA78" s="67"/>
      <c r="AB78" s="151"/>
    </row>
    <row r="79" spans="2:28" hidden="1">
      <c r="B79" s="166"/>
      <c r="C79" s="173"/>
      <c r="D79" s="123"/>
      <c r="E79" s="130"/>
      <c r="F79" s="130"/>
      <c r="G79" s="130"/>
      <c r="H79" s="108" t="str">
        <f t="shared" si="14"/>
        <v/>
      </c>
      <c r="I79" s="189"/>
      <c r="J79" s="130"/>
      <c r="K79" s="108" t="str">
        <f t="shared" si="15"/>
        <v/>
      </c>
      <c r="L79" s="108"/>
      <c r="M79" s="109"/>
      <c r="N79" s="190"/>
      <c r="O79" s="191"/>
      <c r="P79" s="192" t="str">
        <f t="shared" si="16"/>
        <v/>
      </c>
      <c r="Q79" s="191"/>
      <c r="R79" s="191"/>
      <c r="S79" s="67"/>
      <c r="T79" s="108" t="str">
        <f t="shared" si="17"/>
        <v/>
      </c>
      <c r="U79" s="108" t="str">
        <f>IF(J79="","",_xlfn.XLOOKUP(H79,'Emission Factors'!$M$432:$M$787,'Emission Factors'!$U$432:$U$787))</f>
        <v/>
      </c>
      <c r="V79" s="109" t="str">
        <f>IF(J79="","",INDEX(Conversions!$C$4:$I$10,MATCH('V1 - Fuels (Stationary)'!$T78,Conversions!$B$4:$B$10,0),MATCH('V1 - Fuels (Stationary)'!$U78,Conversions!$C$3:$I$3,0)))</f>
        <v/>
      </c>
      <c r="W79" s="127" t="str">
        <f>IF(J79="","",_xlfn.XLOOKUP(H79,'Emission Factors'!$M$432:$M$787,'Emission Factors'!$S$432:$S$787)*V79)</f>
        <v/>
      </c>
      <c r="X79" s="109" t="str">
        <f t="shared" si="18"/>
        <v/>
      </c>
      <c r="Y79" s="193" t="str">
        <f t="shared" si="19"/>
        <v/>
      </c>
      <c r="Z79" s="108" t="str">
        <f>IF(J79="","",_xlfn.XLOOKUP(H79,'Emission Factors'!$M$432:$M$787,'Emission Factors'!$W$432:$W$787))</f>
        <v/>
      </c>
      <c r="AA79" s="67"/>
      <c r="AB79" s="151"/>
    </row>
    <row r="80" spans="2:28" hidden="1">
      <c r="B80" s="166"/>
      <c r="C80" s="173"/>
      <c r="D80" s="123"/>
      <c r="E80" s="130"/>
      <c r="F80" s="130"/>
      <c r="G80" s="130"/>
      <c r="H80" s="108" t="str">
        <f t="shared" si="14"/>
        <v/>
      </c>
      <c r="I80" s="189"/>
      <c r="J80" s="130"/>
      <c r="K80" s="108" t="str">
        <f t="shared" si="15"/>
        <v/>
      </c>
      <c r="L80" s="108"/>
      <c r="M80" s="109"/>
      <c r="N80" s="190"/>
      <c r="O80" s="191"/>
      <c r="P80" s="192" t="str">
        <f t="shared" si="16"/>
        <v/>
      </c>
      <c r="Q80" s="191"/>
      <c r="R80" s="191"/>
      <c r="S80" s="67"/>
      <c r="T80" s="108" t="str">
        <f t="shared" si="17"/>
        <v/>
      </c>
      <c r="U80" s="108" t="str">
        <f>IF(J80="","",_xlfn.XLOOKUP(H80,'Emission Factors'!$M$432:$M$787,'Emission Factors'!$U$432:$U$787))</f>
        <v/>
      </c>
      <c r="V80" s="109" t="str">
        <f>IF(J80="","",INDEX(Conversions!$C$4:$I$10,MATCH('V1 - Fuels (Stationary)'!$T79,Conversions!$B$4:$B$10,0),MATCH('V1 - Fuels (Stationary)'!$U79,Conversions!$C$3:$I$3,0)))</f>
        <v/>
      </c>
      <c r="W80" s="127" t="str">
        <f>IF(J80="","",_xlfn.XLOOKUP(H80,'Emission Factors'!$M$432:$M$787,'Emission Factors'!$S$432:$S$787)*V80)</f>
        <v/>
      </c>
      <c r="X80" s="109" t="str">
        <f t="shared" si="18"/>
        <v/>
      </c>
      <c r="Y80" s="193" t="str">
        <f t="shared" si="19"/>
        <v/>
      </c>
      <c r="Z80" s="108" t="str">
        <f>IF(J80="","",_xlfn.XLOOKUP(H80,'Emission Factors'!$M$432:$M$787,'Emission Factors'!$W$432:$W$787))</f>
        <v/>
      </c>
      <c r="AA80" s="67"/>
      <c r="AB80" s="151"/>
    </row>
    <row r="81" spans="2:28" hidden="1">
      <c r="B81" s="166"/>
      <c r="C81" s="173"/>
      <c r="D81" s="123"/>
      <c r="E81" s="130"/>
      <c r="F81" s="130"/>
      <c r="G81" s="130"/>
      <c r="H81" s="108" t="str">
        <f t="shared" si="14"/>
        <v/>
      </c>
      <c r="I81" s="189"/>
      <c r="J81" s="130"/>
      <c r="K81" s="108" t="str">
        <f t="shared" si="15"/>
        <v/>
      </c>
      <c r="L81" s="108"/>
      <c r="M81" s="109"/>
      <c r="N81" s="190"/>
      <c r="O81" s="191"/>
      <c r="P81" s="192" t="str">
        <f t="shared" si="16"/>
        <v/>
      </c>
      <c r="Q81" s="191"/>
      <c r="R81" s="191"/>
      <c r="S81" s="67"/>
      <c r="T81" s="108" t="str">
        <f t="shared" si="17"/>
        <v/>
      </c>
      <c r="U81" s="108" t="str">
        <f>IF(J81="","",_xlfn.XLOOKUP(H81,'Emission Factors'!$M$432:$M$787,'Emission Factors'!$U$432:$U$787))</f>
        <v/>
      </c>
      <c r="V81" s="109" t="str">
        <f>IF(J81="","",INDEX(Conversions!$C$4:$I$10,MATCH('V1 - Fuels (Stationary)'!$T80,Conversions!$B$4:$B$10,0),MATCH('V1 - Fuels (Stationary)'!$U80,Conversions!$C$3:$I$3,0)))</f>
        <v/>
      </c>
      <c r="W81" s="127" t="str">
        <f>IF(J81="","",_xlfn.XLOOKUP(H81,'Emission Factors'!$M$432:$M$787,'Emission Factors'!$S$432:$S$787)*V81)</f>
        <v/>
      </c>
      <c r="X81" s="109" t="str">
        <f t="shared" si="18"/>
        <v/>
      </c>
      <c r="Y81" s="193" t="str">
        <f t="shared" si="19"/>
        <v/>
      </c>
      <c r="Z81" s="108" t="str">
        <f>IF(J81="","",_xlfn.XLOOKUP(H81,'Emission Factors'!$M$432:$M$787,'Emission Factors'!$W$432:$W$787))</f>
        <v/>
      </c>
      <c r="AA81" s="67"/>
      <c r="AB81" s="151"/>
    </row>
    <row r="82" spans="2:28" hidden="1">
      <c r="B82" s="166"/>
      <c r="C82" s="173"/>
      <c r="D82" s="123"/>
      <c r="E82" s="130"/>
      <c r="F82" s="130"/>
      <c r="G82" s="130"/>
      <c r="H82" s="108" t="str">
        <f t="shared" si="14"/>
        <v/>
      </c>
      <c r="I82" s="189"/>
      <c r="J82" s="130"/>
      <c r="K82" s="108" t="str">
        <f t="shared" si="15"/>
        <v/>
      </c>
      <c r="L82" s="108"/>
      <c r="M82" s="109"/>
      <c r="N82" s="190"/>
      <c r="O82" s="191"/>
      <c r="P82" s="192" t="str">
        <f t="shared" si="16"/>
        <v/>
      </c>
      <c r="Q82" s="191"/>
      <c r="R82" s="191"/>
      <c r="S82" s="67"/>
      <c r="T82" s="108" t="str">
        <f t="shared" si="17"/>
        <v/>
      </c>
      <c r="U82" s="108" t="str">
        <f>IF(J82="","",_xlfn.XLOOKUP(H82,'Emission Factors'!$M$432:$M$787,'Emission Factors'!$U$432:$U$787))</f>
        <v/>
      </c>
      <c r="V82" s="109" t="str">
        <f>IF(J82="","",INDEX(Conversions!$C$4:$I$10,MATCH('V1 - Fuels (Stationary)'!$T81,Conversions!$B$4:$B$10,0),MATCH('V1 - Fuels (Stationary)'!$U81,Conversions!$C$3:$I$3,0)))</f>
        <v/>
      </c>
      <c r="W82" s="127" t="str">
        <f>IF(J82="","",_xlfn.XLOOKUP(H82,'Emission Factors'!$M$432:$M$787,'Emission Factors'!$S$432:$S$787)*V82)</f>
        <v/>
      </c>
      <c r="X82" s="109" t="str">
        <f t="shared" si="18"/>
        <v/>
      </c>
      <c r="Y82" s="193" t="str">
        <f t="shared" si="19"/>
        <v/>
      </c>
      <c r="Z82" s="108" t="str">
        <f>IF(J82="","",_xlfn.XLOOKUP(H82,'Emission Factors'!$M$432:$M$787,'Emission Factors'!$W$432:$W$787))</f>
        <v/>
      </c>
      <c r="AA82" s="67"/>
      <c r="AB82" s="151"/>
    </row>
    <row r="83" spans="2:28" hidden="1">
      <c r="B83" s="166"/>
      <c r="C83" s="173"/>
      <c r="D83" s="123"/>
      <c r="E83" s="130"/>
      <c r="F83" s="130"/>
      <c r="G83" s="130"/>
      <c r="H83" s="108" t="str">
        <f t="shared" si="14"/>
        <v/>
      </c>
      <c r="I83" s="189"/>
      <c r="J83" s="130"/>
      <c r="K83" s="108" t="str">
        <f t="shared" si="15"/>
        <v/>
      </c>
      <c r="L83" s="108"/>
      <c r="M83" s="109"/>
      <c r="N83" s="190"/>
      <c r="O83" s="191"/>
      <c r="P83" s="192" t="str">
        <f t="shared" si="16"/>
        <v/>
      </c>
      <c r="Q83" s="191"/>
      <c r="R83" s="191"/>
      <c r="S83" s="67"/>
      <c r="T83" s="108" t="str">
        <f t="shared" si="17"/>
        <v/>
      </c>
      <c r="U83" s="108" t="str">
        <f>IF(J83="","",_xlfn.XLOOKUP(H83,'Emission Factors'!$M$432:$M$787,'Emission Factors'!$U$432:$U$787))</f>
        <v/>
      </c>
      <c r="V83" s="109" t="str">
        <f>IF(J83="","",INDEX(Conversions!$C$4:$I$10,MATCH('V1 - Fuels (Stationary)'!$T82,Conversions!$B$4:$B$10,0),MATCH('V1 - Fuels (Stationary)'!$U82,Conversions!$C$3:$I$3,0)))</f>
        <v/>
      </c>
      <c r="W83" s="127" t="str">
        <f>IF(J83="","",_xlfn.XLOOKUP(H83,'Emission Factors'!$M$432:$M$787,'Emission Factors'!$S$432:$S$787)*V83)</f>
        <v/>
      </c>
      <c r="X83" s="109" t="str">
        <f t="shared" si="18"/>
        <v/>
      </c>
      <c r="Y83" s="193" t="str">
        <f t="shared" si="19"/>
        <v/>
      </c>
      <c r="Z83" s="108" t="str">
        <f>IF(J83="","",_xlfn.XLOOKUP(H83,'Emission Factors'!$M$432:$M$787,'Emission Factors'!$W$432:$W$787))</f>
        <v/>
      </c>
      <c r="AA83" s="67"/>
      <c r="AB83" s="151"/>
    </row>
    <row r="84" spans="2:28" hidden="1">
      <c r="B84" s="166"/>
      <c r="C84" s="173"/>
      <c r="D84" s="123"/>
      <c r="E84" s="130"/>
      <c r="F84" s="130"/>
      <c r="G84" s="130"/>
      <c r="H84" s="108" t="str">
        <f t="shared" si="14"/>
        <v/>
      </c>
      <c r="I84" s="189"/>
      <c r="J84" s="130"/>
      <c r="K84" s="108" t="str">
        <f t="shared" si="15"/>
        <v/>
      </c>
      <c r="L84" s="108"/>
      <c r="M84" s="109"/>
      <c r="N84" s="190"/>
      <c r="O84" s="191"/>
      <c r="P84" s="192" t="str">
        <f t="shared" si="16"/>
        <v/>
      </c>
      <c r="Q84" s="191"/>
      <c r="R84" s="191"/>
      <c r="S84" s="67"/>
      <c r="T84" s="108" t="str">
        <f t="shared" si="17"/>
        <v/>
      </c>
      <c r="U84" s="108" t="str">
        <f>IF(J84="","",_xlfn.XLOOKUP(H84,'Emission Factors'!$M$432:$M$787,'Emission Factors'!$U$432:$U$787))</f>
        <v/>
      </c>
      <c r="V84" s="109" t="str">
        <f>IF(J84="","",INDEX(Conversions!$C$4:$I$10,MATCH('V1 - Fuels (Stationary)'!$T83,Conversions!$B$4:$B$10,0),MATCH('V1 - Fuels (Stationary)'!$U83,Conversions!$C$3:$I$3,0)))</f>
        <v/>
      </c>
      <c r="W84" s="127" t="str">
        <f>IF(J84="","",_xlfn.XLOOKUP(H84,'Emission Factors'!$M$432:$M$787,'Emission Factors'!$S$432:$S$787)*V84)</f>
        <v/>
      </c>
      <c r="X84" s="109" t="str">
        <f t="shared" si="18"/>
        <v/>
      </c>
      <c r="Y84" s="193" t="str">
        <f t="shared" si="19"/>
        <v/>
      </c>
      <c r="Z84" s="108" t="str">
        <f>IF(J84="","",_xlfn.XLOOKUP(H84,'Emission Factors'!$M$432:$M$787,'Emission Factors'!$W$432:$W$787))</f>
        <v/>
      </c>
      <c r="AA84" s="67"/>
      <c r="AB84" s="151"/>
    </row>
    <row r="85" spans="2:28" hidden="1">
      <c r="B85" s="166"/>
      <c r="C85" s="173"/>
      <c r="D85" s="123"/>
      <c r="E85" s="130"/>
      <c r="F85" s="130"/>
      <c r="G85" s="130"/>
      <c r="H85" s="108" t="str">
        <f t="shared" si="14"/>
        <v/>
      </c>
      <c r="I85" s="189"/>
      <c r="J85" s="130"/>
      <c r="K85" s="108" t="str">
        <f t="shared" si="15"/>
        <v/>
      </c>
      <c r="L85" s="108"/>
      <c r="M85" s="109"/>
      <c r="N85" s="190"/>
      <c r="O85" s="191"/>
      <c r="P85" s="192" t="str">
        <f t="shared" si="16"/>
        <v/>
      </c>
      <c r="Q85" s="191"/>
      <c r="R85" s="191"/>
      <c r="S85" s="67"/>
      <c r="T85" s="108" t="str">
        <f t="shared" si="17"/>
        <v/>
      </c>
      <c r="U85" s="108" t="str">
        <f>IF(J85="","",_xlfn.XLOOKUP(H85,'Emission Factors'!$M$432:$M$787,'Emission Factors'!$U$432:$U$787))</f>
        <v/>
      </c>
      <c r="V85" s="109" t="str">
        <f>IF(J85="","",INDEX(Conversions!$C$4:$I$10,MATCH('V1 - Fuels (Stationary)'!$T84,Conversions!$B$4:$B$10,0),MATCH('V1 - Fuels (Stationary)'!$U84,Conversions!$C$3:$I$3,0)))</f>
        <v/>
      </c>
      <c r="W85" s="127" t="str">
        <f>IF(J85="","",_xlfn.XLOOKUP(H85,'Emission Factors'!$M$432:$M$787,'Emission Factors'!$S$432:$S$787)*V85)</f>
        <v/>
      </c>
      <c r="X85" s="109" t="str">
        <f t="shared" si="18"/>
        <v/>
      </c>
      <c r="Y85" s="193" t="str">
        <f t="shared" si="19"/>
        <v/>
      </c>
      <c r="Z85" s="108" t="str">
        <f>IF(J85="","",_xlfn.XLOOKUP(H85,'Emission Factors'!$M$432:$M$787,'Emission Factors'!$W$432:$W$787))</f>
        <v/>
      </c>
      <c r="AA85" s="67"/>
      <c r="AB85" s="151"/>
    </row>
    <row r="86" spans="2:28" hidden="1">
      <c r="B86" s="166"/>
      <c r="C86" s="173"/>
      <c r="D86" s="123"/>
      <c r="E86" s="130"/>
      <c r="F86" s="130"/>
      <c r="G86" s="130"/>
      <c r="H86" s="108" t="str">
        <f t="shared" si="14"/>
        <v/>
      </c>
      <c r="I86" s="189"/>
      <c r="J86" s="130"/>
      <c r="K86" s="108" t="str">
        <f t="shared" si="15"/>
        <v/>
      </c>
      <c r="L86" s="108"/>
      <c r="M86" s="109"/>
      <c r="N86" s="190"/>
      <c r="O86" s="191"/>
      <c r="P86" s="192" t="str">
        <f t="shared" si="16"/>
        <v/>
      </c>
      <c r="Q86" s="191"/>
      <c r="R86" s="191"/>
      <c r="S86" s="67"/>
      <c r="T86" s="108" t="str">
        <f t="shared" si="17"/>
        <v/>
      </c>
      <c r="U86" s="108" t="str">
        <f>IF(J86="","",_xlfn.XLOOKUP(H86,'Emission Factors'!$M$432:$M$787,'Emission Factors'!$U$432:$U$787))</f>
        <v/>
      </c>
      <c r="V86" s="109" t="str">
        <f>IF(J86="","",INDEX(Conversions!$C$4:$I$10,MATCH('V1 - Fuels (Stationary)'!$T85,Conversions!$B$4:$B$10,0),MATCH('V1 - Fuels (Stationary)'!$U85,Conversions!$C$3:$I$3,0)))</f>
        <v/>
      </c>
      <c r="W86" s="127" t="str">
        <f>IF(J86="","",_xlfn.XLOOKUP(H86,'Emission Factors'!$M$432:$M$787,'Emission Factors'!$S$432:$S$787)*V86)</f>
        <v/>
      </c>
      <c r="X86" s="109" t="str">
        <f t="shared" si="18"/>
        <v/>
      </c>
      <c r="Y86" s="193" t="str">
        <f t="shared" si="19"/>
        <v/>
      </c>
      <c r="Z86" s="108" t="str">
        <f>IF(J86="","",_xlfn.XLOOKUP(H86,'Emission Factors'!$M$432:$M$787,'Emission Factors'!$W$432:$W$787))</f>
        <v/>
      </c>
      <c r="AA86" s="67"/>
      <c r="AB86" s="151"/>
    </row>
    <row r="87" spans="2:28" hidden="1">
      <c r="B87" s="166"/>
      <c r="C87" s="173"/>
      <c r="D87" s="123"/>
      <c r="E87" s="130"/>
      <c r="F87" s="130"/>
      <c r="G87" s="130"/>
      <c r="H87" s="108" t="str">
        <f t="shared" si="14"/>
        <v/>
      </c>
      <c r="I87" s="189"/>
      <c r="J87" s="130"/>
      <c r="K87" s="108" t="str">
        <f t="shared" si="15"/>
        <v/>
      </c>
      <c r="L87" s="108"/>
      <c r="M87" s="109"/>
      <c r="N87" s="190"/>
      <c r="O87" s="191"/>
      <c r="P87" s="192" t="str">
        <f t="shared" si="16"/>
        <v/>
      </c>
      <c r="Q87" s="191"/>
      <c r="R87" s="191"/>
      <c r="S87" s="67"/>
      <c r="T87" s="108" t="str">
        <f t="shared" si="17"/>
        <v/>
      </c>
      <c r="U87" s="108" t="str">
        <f>IF(J87="","",_xlfn.XLOOKUP(H87,'Emission Factors'!$M$432:$M$787,'Emission Factors'!$U$432:$U$787))</f>
        <v/>
      </c>
      <c r="V87" s="109" t="str">
        <f>IF(J87="","",INDEX(Conversions!$C$4:$I$10,MATCH('V1 - Fuels (Stationary)'!$T86,Conversions!$B$4:$B$10,0),MATCH('V1 - Fuels (Stationary)'!$U86,Conversions!$C$3:$I$3,0)))</f>
        <v/>
      </c>
      <c r="W87" s="127" t="str">
        <f>IF(J87="","",_xlfn.XLOOKUP(H87,'Emission Factors'!$M$432:$M$787,'Emission Factors'!$S$432:$S$787)*V87)</f>
        <v/>
      </c>
      <c r="X87" s="109" t="str">
        <f t="shared" si="18"/>
        <v/>
      </c>
      <c r="Y87" s="193" t="str">
        <f t="shared" si="19"/>
        <v/>
      </c>
      <c r="Z87" s="108" t="str">
        <f>IF(J87="","",_xlfn.XLOOKUP(H87,'Emission Factors'!$M$432:$M$787,'Emission Factors'!$W$432:$W$787))</f>
        <v/>
      </c>
      <c r="AA87" s="67"/>
      <c r="AB87" s="151"/>
    </row>
    <row r="88" spans="2:28" hidden="1">
      <c r="B88" s="166"/>
      <c r="C88" s="173"/>
      <c r="D88" s="123"/>
      <c r="E88" s="130"/>
      <c r="F88" s="130"/>
      <c r="G88" s="130"/>
      <c r="H88" s="108" t="str">
        <f t="shared" si="14"/>
        <v/>
      </c>
      <c r="I88" s="189"/>
      <c r="J88" s="130"/>
      <c r="K88" s="108" t="str">
        <f t="shared" si="15"/>
        <v/>
      </c>
      <c r="L88" s="108"/>
      <c r="M88" s="109"/>
      <c r="N88" s="190"/>
      <c r="O88" s="191"/>
      <c r="P88" s="192" t="str">
        <f t="shared" si="16"/>
        <v/>
      </c>
      <c r="Q88" s="191"/>
      <c r="R88" s="191"/>
      <c r="S88" s="67"/>
      <c r="T88" s="108" t="str">
        <f t="shared" si="17"/>
        <v/>
      </c>
      <c r="U88" s="108" t="str">
        <f>IF(J88="","",_xlfn.XLOOKUP(H88,'Emission Factors'!$M$432:$M$787,'Emission Factors'!$U$432:$U$787))</f>
        <v/>
      </c>
      <c r="V88" s="109" t="str">
        <f>IF(J88="","",INDEX(Conversions!$C$4:$I$10,MATCH('V1 - Fuels (Stationary)'!$T87,Conversions!$B$4:$B$10,0),MATCH('V1 - Fuels (Stationary)'!$U87,Conversions!$C$3:$I$3,0)))</f>
        <v/>
      </c>
      <c r="W88" s="127" t="str">
        <f>IF(J88="","",_xlfn.XLOOKUP(H88,'Emission Factors'!$M$432:$M$787,'Emission Factors'!$S$432:$S$787)*V88)</f>
        <v/>
      </c>
      <c r="X88" s="109" t="str">
        <f t="shared" si="18"/>
        <v/>
      </c>
      <c r="Y88" s="193" t="str">
        <f t="shared" si="19"/>
        <v/>
      </c>
      <c r="Z88" s="108" t="str">
        <f>IF(J88="","",_xlfn.XLOOKUP(H88,'Emission Factors'!$M$432:$M$787,'Emission Factors'!$W$432:$W$787))</f>
        <v/>
      </c>
      <c r="AA88" s="67"/>
      <c r="AB88" s="151"/>
    </row>
    <row r="89" spans="2:28" hidden="1">
      <c r="B89" s="166"/>
      <c r="C89" s="173"/>
      <c r="D89" s="123"/>
      <c r="E89" s="130"/>
      <c r="F89" s="130"/>
      <c r="G89" s="130"/>
      <c r="H89" s="108" t="str">
        <f t="shared" si="14"/>
        <v/>
      </c>
      <c r="I89" s="189"/>
      <c r="J89" s="130"/>
      <c r="K89" s="108" t="str">
        <f t="shared" si="15"/>
        <v/>
      </c>
      <c r="L89" s="108"/>
      <c r="M89" s="109"/>
      <c r="N89" s="190"/>
      <c r="O89" s="191"/>
      <c r="P89" s="192" t="str">
        <f t="shared" si="16"/>
        <v/>
      </c>
      <c r="Q89" s="191"/>
      <c r="R89" s="191"/>
      <c r="S89" s="67"/>
      <c r="T89" s="108" t="str">
        <f t="shared" si="17"/>
        <v/>
      </c>
      <c r="U89" s="108" t="str">
        <f>IF(J89="","",_xlfn.XLOOKUP(H89,'Emission Factors'!$M$432:$M$787,'Emission Factors'!$U$432:$U$787))</f>
        <v/>
      </c>
      <c r="V89" s="109" t="str">
        <f>IF(J89="","",INDEX(Conversions!$C$4:$I$10,MATCH('V1 - Fuels (Stationary)'!$T88,Conversions!$B$4:$B$10,0),MATCH('V1 - Fuels (Stationary)'!$U88,Conversions!$C$3:$I$3,0)))</f>
        <v/>
      </c>
      <c r="W89" s="127" t="str">
        <f>IF(J89="","",_xlfn.XLOOKUP(H89,'Emission Factors'!$M$432:$M$787,'Emission Factors'!$S$432:$S$787)*V89)</f>
        <v/>
      </c>
      <c r="X89" s="109" t="str">
        <f t="shared" si="18"/>
        <v/>
      </c>
      <c r="Y89" s="193" t="str">
        <f t="shared" si="19"/>
        <v/>
      </c>
      <c r="Z89" s="108" t="str">
        <f>IF(J89="","",_xlfn.XLOOKUP(H89,'Emission Factors'!$M$432:$M$787,'Emission Factors'!$W$432:$W$787))</f>
        <v/>
      </c>
      <c r="AA89" s="67"/>
      <c r="AB89" s="151"/>
    </row>
    <row r="90" spans="2:28" hidden="1">
      <c r="B90" s="166"/>
      <c r="C90" s="173"/>
      <c r="D90" s="123"/>
      <c r="E90" s="130"/>
      <c r="F90" s="130"/>
      <c r="G90" s="130"/>
      <c r="H90" s="108" t="str">
        <f t="shared" si="14"/>
        <v/>
      </c>
      <c r="I90" s="189"/>
      <c r="J90" s="130"/>
      <c r="K90" s="108" t="str">
        <f t="shared" si="15"/>
        <v/>
      </c>
      <c r="L90" s="108"/>
      <c r="M90" s="109"/>
      <c r="N90" s="190"/>
      <c r="O90" s="191"/>
      <c r="P90" s="192" t="str">
        <f t="shared" si="16"/>
        <v/>
      </c>
      <c r="Q90" s="191"/>
      <c r="R90" s="191"/>
      <c r="S90" s="67"/>
      <c r="T90" s="108" t="str">
        <f t="shared" si="17"/>
        <v/>
      </c>
      <c r="U90" s="108" t="str">
        <f>IF(J90="","",_xlfn.XLOOKUP(H90,'Emission Factors'!$M$432:$M$787,'Emission Factors'!$U$432:$U$787))</f>
        <v/>
      </c>
      <c r="V90" s="109" t="str">
        <f>IF(J90="","",INDEX(Conversions!$C$4:$I$10,MATCH('V1 - Fuels (Stationary)'!$T89,Conversions!$B$4:$B$10,0),MATCH('V1 - Fuels (Stationary)'!$U89,Conversions!$C$3:$I$3,0)))</f>
        <v/>
      </c>
      <c r="W90" s="127" t="str">
        <f>IF(J90="","",_xlfn.XLOOKUP(H90,'Emission Factors'!$M$432:$M$787,'Emission Factors'!$S$432:$S$787)*V90)</f>
        <v/>
      </c>
      <c r="X90" s="109" t="str">
        <f t="shared" si="18"/>
        <v/>
      </c>
      <c r="Y90" s="193" t="str">
        <f t="shared" si="19"/>
        <v/>
      </c>
      <c r="Z90" s="108" t="str">
        <f>IF(J90="","",_xlfn.XLOOKUP(H90,'Emission Factors'!$M$432:$M$787,'Emission Factors'!$W$432:$W$787))</f>
        <v/>
      </c>
      <c r="AA90" s="67"/>
      <c r="AB90" s="151"/>
    </row>
    <row r="91" spans="2:28" hidden="1">
      <c r="B91" s="166"/>
      <c r="C91" s="173"/>
      <c r="D91" s="123"/>
      <c r="E91" s="130"/>
      <c r="F91" s="130"/>
      <c r="G91" s="130"/>
      <c r="H91" s="108" t="str">
        <f t="shared" si="14"/>
        <v/>
      </c>
      <c r="I91" s="189"/>
      <c r="J91" s="130"/>
      <c r="K91" s="108" t="str">
        <f t="shared" si="15"/>
        <v/>
      </c>
      <c r="L91" s="108"/>
      <c r="M91" s="109"/>
      <c r="N91" s="190"/>
      <c r="O91" s="191"/>
      <c r="P91" s="192" t="str">
        <f t="shared" si="16"/>
        <v/>
      </c>
      <c r="Q91" s="191"/>
      <c r="R91" s="191"/>
      <c r="S91" s="67"/>
      <c r="T91" s="108" t="str">
        <f t="shared" si="17"/>
        <v/>
      </c>
      <c r="U91" s="108" t="str">
        <f>IF(J91="","",_xlfn.XLOOKUP(H91,'Emission Factors'!$M$432:$M$787,'Emission Factors'!$U$432:$U$787))</f>
        <v/>
      </c>
      <c r="V91" s="109" t="str">
        <f>IF(J91="","",INDEX(Conversions!$C$4:$I$10,MATCH('V1 - Fuels (Stationary)'!$T90,Conversions!$B$4:$B$10,0),MATCH('V1 - Fuels (Stationary)'!$U90,Conversions!$C$3:$I$3,0)))</f>
        <v/>
      </c>
      <c r="W91" s="127" t="str">
        <f>IF(J91="","",_xlfn.XLOOKUP(H91,'Emission Factors'!$M$432:$M$787,'Emission Factors'!$S$432:$S$787)*V91)</f>
        <v/>
      </c>
      <c r="X91" s="109" t="str">
        <f t="shared" si="18"/>
        <v/>
      </c>
      <c r="Y91" s="193" t="str">
        <f t="shared" si="19"/>
        <v/>
      </c>
      <c r="Z91" s="108" t="str">
        <f>IF(J91="","",_xlfn.XLOOKUP(H91,'Emission Factors'!$M$432:$M$787,'Emission Factors'!$W$432:$W$787))</f>
        <v/>
      </c>
      <c r="AA91" s="67"/>
      <c r="AB91" s="151"/>
    </row>
    <row r="92" spans="2:28" hidden="1">
      <c r="B92" s="166"/>
      <c r="C92" s="173"/>
      <c r="D92" s="123"/>
      <c r="E92" s="130"/>
      <c r="F92" s="130"/>
      <c r="G92" s="130"/>
      <c r="H92" s="108" t="str">
        <f t="shared" si="14"/>
        <v/>
      </c>
      <c r="I92" s="189"/>
      <c r="J92" s="130"/>
      <c r="K92" s="108" t="str">
        <f t="shared" si="15"/>
        <v/>
      </c>
      <c r="L92" s="108"/>
      <c r="M92" s="109"/>
      <c r="N92" s="190"/>
      <c r="O92" s="191"/>
      <c r="P92" s="192" t="str">
        <f t="shared" si="16"/>
        <v/>
      </c>
      <c r="Q92" s="191"/>
      <c r="R92" s="191"/>
      <c r="S92" s="67"/>
      <c r="T92" s="108" t="str">
        <f t="shared" si="17"/>
        <v/>
      </c>
      <c r="U92" s="108" t="str">
        <f>IF(J92="","",_xlfn.XLOOKUP(H92,'Emission Factors'!$M$432:$M$787,'Emission Factors'!$U$432:$U$787))</f>
        <v/>
      </c>
      <c r="V92" s="109" t="str">
        <f>IF(J92="","",INDEX(Conversions!$C$4:$I$10,MATCH('V1 - Fuels (Stationary)'!$T91,Conversions!$B$4:$B$10,0),MATCH('V1 - Fuels (Stationary)'!$U91,Conversions!$C$3:$I$3,0)))</f>
        <v/>
      </c>
      <c r="W92" s="127" t="str">
        <f>IF(J92="","",_xlfn.XLOOKUP(H92,'Emission Factors'!$M$432:$M$787,'Emission Factors'!$S$432:$S$787)*V92)</f>
        <v/>
      </c>
      <c r="X92" s="109" t="str">
        <f t="shared" si="18"/>
        <v/>
      </c>
      <c r="Y92" s="193" t="str">
        <f t="shared" si="19"/>
        <v/>
      </c>
      <c r="Z92" s="108" t="str">
        <f>IF(J92="","",_xlfn.XLOOKUP(H92,'Emission Factors'!$M$432:$M$787,'Emission Factors'!$W$432:$W$787))</f>
        <v/>
      </c>
      <c r="AA92" s="67"/>
      <c r="AB92" s="151"/>
    </row>
    <row r="93" spans="2:28" hidden="1">
      <c r="B93" s="166"/>
      <c r="C93" s="173"/>
      <c r="D93" s="123"/>
      <c r="E93" s="130"/>
      <c r="F93" s="130"/>
      <c r="G93" s="130"/>
      <c r="H93" s="108" t="str">
        <f t="shared" si="14"/>
        <v/>
      </c>
      <c r="I93" s="189"/>
      <c r="J93" s="130"/>
      <c r="K93" s="108" t="str">
        <f t="shared" si="15"/>
        <v/>
      </c>
      <c r="L93" s="108"/>
      <c r="M93" s="109"/>
      <c r="N93" s="190"/>
      <c r="O93" s="191"/>
      <c r="P93" s="192" t="str">
        <f t="shared" si="16"/>
        <v/>
      </c>
      <c r="Q93" s="191"/>
      <c r="R93" s="191"/>
      <c r="S93" s="67"/>
      <c r="T93" s="108" t="str">
        <f t="shared" si="17"/>
        <v/>
      </c>
      <c r="U93" s="108" t="str">
        <f>IF(J93="","",_xlfn.XLOOKUP(H93,'Emission Factors'!$M$432:$M$787,'Emission Factors'!$U$432:$U$787))</f>
        <v/>
      </c>
      <c r="V93" s="109" t="str">
        <f>IF(J93="","",INDEX(Conversions!$C$4:$I$10,MATCH('V1 - Fuels (Stationary)'!$T92,Conversions!$B$4:$B$10,0),MATCH('V1 - Fuels (Stationary)'!$U92,Conversions!$C$3:$I$3,0)))</f>
        <v/>
      </c>
      <c r="W93" s="127" t="str">
        <f>IF(J93="","",_xlfn.XLOOKUP(H93,'Emission Factors'!$M$432:$M$787,'Emission Factors'!$S$432:$S$787)*V93)</f>
        <v/>
      </c>
      <c r="X93" s="109" t="str">
        <f t="shared" si="18"/>
        <v/>
      </c>
      <c r="Y93" s="193" t="str">
        <f t="shared" si="19"/>
        <v/>
      </c>
      <c r="Z93" s="108" t="str">
        <f>IF(J93="","",_xlfn.XLOOKUP(H93,'Emission Factors'!$M$432:$M$787,'Emission Factors'!$W$432:$W$787))</f>
        <v/>
      </c>
      <c r="AA93" s="67"/>
      <c r="AB93" s="151"/>
    </row>
    <row r="94" spans="2:28" hidden="1">
      <c r="B94" s="166"/>
      <c r="C94" s="173"/>
      <c r="D94" s="123"/>
      <c r="E94" s="130"/>
      <c r="F94" s="130"/>
      <c r="G94" s="130"/>
      <c r="H94" s="108" t="str">
        <f t="shared" si="14"/>
        <v/>
      </c>
      <c r="I94" s="189"/>
      <c r="J94" s="130"/>
      <c r="K94" s="108" t="str">
        <f t="shared" si="15"/>
        <v/>
      </c>
      <c r="L94" s="108"/>
      <c r="M94" s="109"/>
      <c r="N94" s="190"/>
      <c r="O94" s="191"/>
      <c r="P94" s="192" t="str">
        <f t="shared" si="16"/>
        <v/>
      </c>
      <c r="Q94" s="191"/>
      <c r="R94" s="191"/>
      <c r="S94" s="67"/>
      <c r="T94" s="108" t="str">
        <f t="shared" si="17"/>
        <v/>
      </c>
      <c r="U94" s="108" t="str">
        <f>IF(J94="","",_xlfn.XLOOKUP(H94,'Emission Factors'!$M$432:$M$787,'Emission Factors'!$U$432:$U$787))</f>
        <v/>
      </c>
      <c r="V94" s="109" t="str">
        <f>IF(J94="","",INDEX(Conversions!$C$4:$I$10,MATCH('V1 - Fuels (Stationary)'!$T93,Conversions!$B$4:$B$10,0),MATCH('V1 - Fuels (Stationary)'!$U93,Conversions!$C$3:$I$3,0)))</f>
        <v/>
      </c>
      <c r="W94" s="127" t="str">
        <f>IF(J94="","",_xlfn.XLOOKUP(H94,'Emission Factors'!$M$432:$M$787,'Emission Factors'!$S$432:$S$787)*V94)</f>
        <v/>
      </c>
      <c r="X94" s="109" t="str">
        <f t="shared" si="18"/>
        <v/>
      </c>
      <c r="Y94" s="193" t="str">
        <f t="shared" si="19"/>
        <v/>
      </c>
      <c r="Z94" s="108" t="str">
        <f>IF(J94="","",_xlfn.XLOOKUP(H94,'Emission Factors'!$M$432:$M$787,'Emission Factors'!$W$432:$W$787))</f>
        <v/>
      </c>
      <c r="AA94" s="67"/>
      <c r="AB94" s="151"/>
    </row>
    <row r="95" spans="2:28" hidden="1">
      <c r="B95" s="166"/>
      <c r="C95" s="173"/>
      <c r="D95" s="123"/>
      <c r="E95" s="130"/>
      <c r="F95" s="130"/>
      <c r="G95" s="130"/>
      <c r="H95" s="108" t="str">
        <f t="shared" si="14"/>
        <v/>
      </c>
      <c r="I95" s="189"/>
      <c r="J95" s="130"/>
      <c r="K95" s="108" t="str">
        <f t="shared" si="15"/>
        <v/>
      </c>
      <c r="L95" s="108"/>
      <c r="M95" s="109"/>
      <c r="N95" s="190"/>
      <c r="O95" s="191"/>
      <c r="P95" s="192" t="str">
        <f t="shared" si="16"/>
        <v/>
      </c>
      <c r="Q95" s="191"/>
      <c r="R95" s="191"/>
      <c r="S95" s="67"/>
      <c r="T95" s="108" t="str">
        <f t="shared" si="17"/>
        <v/>
      </c>
      <c r="U95" s="108" t="str">
        <f>IF(J95="","",_xlfn.XLOOKUP(H95,'Emission Factors'!$M$432:$M$787,'Emission Factors'!$U$432:$U$787))</f>
        <v/>
      </c>
      <c r="V95" s="109" t="str">
        <f>IF(J95="","",INDEX(Conversions!$C$4:$I$10,MATCH('V1 - Fuels (Stationary)'!$T94,Conversions!$B$4:$B$10,0),MATCH('V1 - Fuels (Stationary)'!$U94,Conversions!$C$3:$I$3,0)))</f>
        <v/>
      </c>
      <c r="W95" s="127" t="str">
        <f>IF(J95="","",_xlfn.XLOOKUP(H95,'Emission Factors'!$M$432:$M$787,'Emission Factors'!$S$432:$S$787)*V95)</f>
        <v/>
      </c>
      <c r="X95" s="109" t="str">
        <f t="shared" si="18"/>
        <v/>
      </c>
      <c r="Y95" s="193" t="str">
        <f t="shared" si="19"/>
        <v/>
      </c>
      <c r="Z95" s="108" t="str">
        <f>IF(J95="","",_xlfn.XLOOKUP(H95,'Emission Factors'!$M$432:$M$787,'Emission Factors'!$W$432:$W$787))</f>
        <v/>
      </c>
      <c r="AA95" s="67"/>
      <c r="AB95" s="151"/>
    </row>
    <row r="96" spans="2:28" hidden="1">
      <c r="B96" s="166"/>
      <c r="C96" s="173"/>
      <c r="D96" s="123"/>
      <c r="E96" s="130"/>
      <c r="F96" s="130"/>
      <c r="G96" s="130"/>
      <c r="H96" s="108" t="str">
        <f t="shared" si="14"/>
        <v/>
      </c>
      <c r="I96" s="189"/>
      <c r="J96" s="130"/>
      <c r="K96" s="108" t="str">
        <f t="shared" si="15"/>
        <v/>
      </c>
      <c r="L96" s="108"/>
      <c r="M96" s="109"/>
      <c r="N96" s="190"/>
      <c r="O96" s="191"/>
      <c r="P96" s="192" t="str">
        <f t="shared" si="16"/>
        <v/>
      </c>
      <c r="Q96" s="191"/>
      <c r="R96" s="191"/>
      <c r="S96" s="67"/>
      <c r="T96" s="108" t="str">
        <f t="shared" si="17"/>
        <v/>
      </c>
      <c r="U96" s="108" t="str">
        <f>IF(J96="","",_xlfn.XLOOKUP(H96,'Emission Factors'!$M$432:$M$787,'Emission Factors'!$U$432:$U$787))</f>
        <v/>
      </c>
      <c r="V96" s="109" t="str">
        <f>IF(J96="","",INDEX(Conversions!$C$4:$I$10,MATCH('V1 - Fuels (Stationary)'!$T95,Conversions!$B$4:$B$10,0),MATCH('V1 - Fuels (Stationary)'!$U95,Conversions!$C$3:$I$3,0)))</f>
        <v/>
      </c>
      <c r="W96" s="127" t="str">
        <f>IF(J96="","",_xlfn.XLOOKUP(H96,'Emission Factors'!$M$432:$M$787,'Emission Factors'!$S$432:$S$787)*V96)</f>
        <v/>
      </c>
      <c r="X96" s="109" t="str">
        <f t="shared" si="18"/>
        <v/>
      </c>
      <c r="Y96" s="193" t="str">
        <f t="shared" si="19"/>
        <v/>
      </c>
      <c r="Z96" s="108" t="str">
        <f>IF(J96="","",_xlfn.XLOOKUP(H96,'Emission Factors'!$M$432:$M$787,'Emission Factors'!$W$432:$W$787))</f>
        <v/>
      </c>
      <c r="AA96" s="67"/>
      <c r="AB96" s="151"/>
    </row>
    <row r="97" spans="2:28" hidden="1">
      <c r="B97" s="166"/>
      <c r="C97" s="173"/>
      <c r="D97" s="123"/>
      <c r="E97" s="130"/>
      <c r="F97" s="130"/>
      <c r="G97" s="130"/>
      <c r="H97" s="108" t="str">
        <f t="shared" si="14"/>
        <v/>
      </c>
      <c r="I97" s="189"/>
      <c r="J97" s="130"/>
      <c r="K97" s="108" t="str">
        <f t="shared" si="15"/>
        <v/>
      </c>
      <c r="L97" s="108"/>
      <c r="M97" s="109"/>
      <c r="N97" s="190"/>
      <c r="O97" s="191"/>
      <c r="P97" s="192" t="str">
        <f t="shared" si="16"/>
        <v/>
      </c>
      <c r="Q97" s="191"/>
      <c r="R97" s="191"/>
      <c r="S97" s="67"/>
      <c r="T97" s="108" t="str">
        <f t="shared" si="17"/>
        <v/>
      </c>
      <c r="U97" s="108" t="str">
        <f>IF(J97="","",_xlfn.XLOOKUP(H97,'Emission Factors'!$M$432:$M$787,'Emission Factors'!$U$432:$U$787))</f>
        <v/>
      </c>
      <c r="V97" s="109" t="str">
        <f>IF(J97="","",INDEX(Conversions!$C$4:$I$10,MATCH('V1 - Fuels (Stationary)'!#REF!,Conversions!$B$4:$B$10,0),MATCH('V1 - Fuels (Stationary)'!#REF!,Conversions!$C$3:$I$3,0)))</f>
        <v/>
      </c>
      <c r="W97" s="127" t="str">
        <f>IF(J97="","",_xlfn.XLOOKUP(H97,'Emission Factors'!$M$432:$M$787,'Emission Factors'!$S$432:$S$787)*V97)</f>
        <v/>
      </c>
      <c r="X97" s="109" t="str">
        <f t="shared" si="18"/>
        <v/>
      </c>
      <c r="Y97" s="193" t="str">
        <f t="shared" si="19"/>
        <v/>
      </c>
      <c r="Z97" s="108" t="str">
        <f>IF(J97="","",_xlfn.XLOOKUP(H97,'Emission Factors'!$M$432:$M$787,'Emission Factors'!$W$432:$W$787))</f>
        <v/>
      </c>
      <c r="AA97" s="67"/>
      <c r="AB97" s="151"/>
    </row>
    <row r="98" spans="2:28" hidden="1">
      <c r="B98" s="166"/>
      <c r="C98" s="173"/>
      <c r="D98" s="67"/>
      <c r="E98" s="67"/>
      <c r="F98" s="67"/>
      <c r="G98" s="67"/>
      <c r="H98" s="67"/>
      <c r="I98" s="67"/>
      <c r="J98" s="67"/>
      <c r="K98" s="67"/>
      <c r="L98" s="67"/>
      <c r="M98" s="67"/>
      <c r="N98" s="67"/>
      <c r="O98" s="67"/>
      <c r="P98" s="67"/>
      <c r="Q98" s="67"/>
      <c r="R98" s="67"/>
      <c r="S98" s="67"/>
      <c r="T98" s="67"/>
      <c r="U98" s="67"/>
      <c r="V98" s="67"/>
      <c r="W98" s="67"/>
      <c r="X98" s="67"/>
      <c r="Y98" s="67"/>
      <c r="Z98" s="67"/>
      <c r="AA98" s="67"/>
      <c r="AB98" s="151"/>
    </row>
    <row r="99" spans="2:28" ht="15" hidden="1">
      <c r="B99" s="166"/>
      <c r="C99" s="173"/>
      <c r="D99" s="194" t="s">
        <v>220</v>
      </c>
      <c r="E99" s="195"/>
      <c r="F99" s="195"/>
      <c r="G99" s="195"/>
      <c r="H99" s="195"/>
      <c r="I99" s="195"/>
      <c r="J99" s="195"/>
      <c r="K99" s="195"/>
      <c r="L99" s="195"/>
      <c r="M99" s="195"/>
      <c r="N99" s="195"/>
      <c r="O99" s="195"/>
      <c r="P99" s="196">
        <f>SUM($P$67:$P$97)</f>
        <v>0</v>
      </c>
      <c r="Q99" s="195"/>
      <c r="R99" s="197"/>
      <c r="S99" s="67"/>
      <c r="T99" s="198"/>
      <c r="U99" s="195"/>
      <c r="V99" s="195"/>
      <c r="W99" s="195"/>
      <c r="X99" s="195"/>
      <c r="Y99" s="199">
        <f>SUM($Y$67:$Y$97)</f>
        <v>0</v>
      </c>
      <c r="Z99" s="200"/>
      <c r="AA99" s="67"/>
      <c r="AB99" s="151"/>
    </row>
    <row r="100" spans="2:28">
      <c r="B100" s="166"/>
      <c r="C100" s="173"/>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151"/>
    </row>
    <row r="101" spans="2:28">
      <c r="B101" s="166"/>
      <c r="C101" s="173"/>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151"/>
    </row>
    <row r="102" spans="2:28">
      <c r="B102" s="166"/>
      <c r="C102" s="17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151"/>
    </row>
    <row r="103" spans="2:28">
      <c r="B103" s="166"/>
      <c r="C103" s="173"/>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151"/>
    </row>
    <row r="104" spans="2:28">
      <c r="B104" s="166"/>
      <c r="C104" s="173"/>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151"/>
    </row>
  </sheetData>
  <sheetProtection algorithmName="SHA-512" hashValue="dxwR66amZzNHVf2nHFrj1L7es8C9JXNZa1nsqt2zxBVIlfLpeJfhwfr3Cc6vRYgGyUiC+XnjxtrSqpel9/B5xQ==" saltValue="kWBFimdLwYWaNtp9z6/xoQ==" spinCount="100000" sheet="1" objects="1" scenarios="1"/>
  <dataConsolidate/>
  <mergeCells count="7">
    <mergeCell ref="D4:Z11"/>
    <mergeCell ref="D12:Z12"/>
    <mergeCell ref="D29:R29"/>
    <mergeCell ref="D15:N20"/>
    <mergeCell ref="D14:N14"/>
    <mergeCell ref="D22:R22"/>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B987C57E-477A-4C67-B044-1103905E13E5}">
          <x14:formula1>
            <xm:f>Dropdown!$AY$3:$AY$8</xm:f>
          </x14:formula1>
          <xm:sqref>F24:F25 F31:F61</xm:sqref>
        </x14:dataValidation>
        <x14:dataValidation type="list" allowBlank="1" showInputMessage="1" showErrorMessage="1" xr:uid="{0169EC84-B264-44F1-A118-8BB220C09FF3}">
          <x14:formula1>
            <xm:f>INDIRECT(_xlfn.XLOOKUP(F24,Dropdown!$AV$3:$AV$31,Dropdown!$AW$3:$AW$31))</xm:f>
          </x14:formula1>
          <xm:sqref>G24:G25 G31:G61</xm:sqref>
        </x14:dataValidation>
        <x14:dataValidation type="list" allowBlank="1" showInputMessage="1" showErrorMessage="1" xr:uid="{3EB06418-40D9-4326-BDF4-00D783BC1C5C}">
          <x14:formula1>
            <xm:f>INDIRECT(_xlfn.XLOOKUP(G24,Dropdown!$AZ$3:$AZ$32,Dropdown!$BA$3:$BA$32))</xm:f>
          </x14:formula1>
          <xm:sqref>J24:J25 J31:J61</xm:sqref>
        </x14:dataValidation>
        <x14:dataValidation type="list" allowBlank="1" showInputMessage="1" showErrorMessage="1" xr:uid="{BD1877B5-8B5D-477C-A456-073AEA5725F8}">
          <x14:formula1>
            <xm:f>'Organisation Details'!$G$33:$G$58</xm:f>
          </x14:formula1>
          <xm:sqref>D31:D61 D67:D97</xm:sqref>
        </x14:dataValidation>
        <x14:dataValidation type="list" allowBlank="1" showInputMessage="1" showErrorMessage="1" xr:uid="{74A26296-05FC-4829-A6CA-104C8CE66867}">
          <x14:formula1>
            <xm:f>Dropdown!$C$3:$C$7</xm:f>
          </x14:formula1>
          <xm:sqref>D24:D25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DD91-5D07-4BD9-BA7C-443386BDC88F}">
  <sheetPr codeName="Sheet13">
    <tabColor rgb="FF9C86CD"/>
  </sheetPr>
  <dimension ref="A1:AB104"/>
  <sheetViews>
    <sheetView showGridLines="0" showRowColHeaders="0" topLeftCell="B2" zoomScale="75" zoomScaleNormal="75" workbookViewId="0">
      <selection activeCell="O20" sqref="O20"/>
    </sheetView>
  </sheetViews>
  <sheetFormatPr defaultColWidth="0" defaultRowHeight="14.25" zeroHeight="1"/>
  <cols>
    <col min="1" max="1" width="58.42578125" style="71" hidden="1" customWidth="1"/>
    <col min="2" max="2" width="4.28515625" style="71" customWidth="1"/>
    <col min="3" max="3" width="4.7109375" style="178" customWidth="1"/>
    <col min="4" max="4" width="36.28515625" style="71" customWidth="1"/>
    <col min="5" max="5" width="44.28515625" style="71" customWidth="1"/>
    <col min="6" max="6" width="34.140625" style="71" customWidth="1"/>
    <col min="7" max="7" width="28.140625" style="71" customWidth="1"/>
    <col min="8" max="8" width="18.42578125" style="71" hidden="1" customWidth="1"/>
    <col min="9" max="9" width="16.7109375" style="71" customWidth="1"/>
    <col min="10" max="10" width="21.7109375" style="71" customWidth="1"/>
    <col min="11" max="11" width="22.140625" style="71" hidden="1" customWidth="1"/>
    <col min="12" max="12" width="30.85546875" style="71" customWidth="1"/>
    <col min="13" max="13" width="20.85546875" style="71" customWidth="1"/>
    <col min="14" max="14" width="20.7109375" style="71" customWidth="1"/>
    <col min="15" max="15" width="22.7109375" style="71" customWidth="1"/>
    <col min="16" max="16" width="35.85546875" style="71" customWidth="1"/>
    <col min="17" max="17" width="121.7109375" style="71" customWidth="1"/>
    <col min="18" max="18" width="60.7109375" style="71" customWidth="1"/>
    <col min="19" max="20" width="14" style="71" customWidth="1"/>
    <col min="21" max="21" width="30.7109375" style="71" customWidth="1"/>
    <col min="22" max="23" width="20.7109375" style="71" customWidth="1"/>
    <col min="24" max="24" width="25.85546875" style="71" customWidth="1"/>
    <col min="25" max="25" width="30.7109375" style="71" customWidth="1"/>
    <col min="26" max="26" width="100.7109375" style="71" customWidth="1"/>
    <col min="27" max="27" width="99.7109375" style="71" customWidth="1"/>
    <col min="28" max="28" width="14" style="179" customWidth="1"/>
    <col min="29" max="16384" width="14" style="71" hidden="1"/>
  </cols>
  <sheetData>
    <row r="1" spans="1:28" ht="14.1" hidden="1" customHeight="1">
      <c r="C1" s="71"/>
      <c r="D1" s="166"/>
      <c r="E1" s="166"/>
      <c r="F1" s="166"/>
      <c r="G1" s="166"/>
      <c r="H1" s="166"/>
      <c r="I1" s="166"/>
      <c r="J1" s="166"/>
      <c r="K1" s="166"/>
      <c r="L1" s="166"/>
      <c r="M1" s="166"/>
      <c r="N1" s="166"/>
      <c r="O1" s="166"/>
      <c r="P1" s="166"/>
      <c r="Q1" s="166"/>
      <c r="R1" s="166"/>
      <c r="S1" s="166"/>
      <c r="T1" s="166"/>
      <c r="U1" s="166"/>
      <c r="V1" s="166"/>
      <c r="W1" s="166"/>
      <c r="X1" s="166"/>
      <c r="AB1" s="71"/>
    </row>
    <row r="2" spans="1:28" ht="13.5" customHeight="1">
      <c r="A2" s="71" t="str">
        <f>Introduction!$E$14</f>
        <v>Føroyskt</v>
      </c>
      <c r="B2" s="167"/>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row>
    <row r="3" spans="1:28">
      <c r="A3" s="168" t="s">
        <v>0</v>
      </c>
      <c r="B3" s="166"/>
      <c r="C3" s="169"/>
      <c r="D3" s="170"/>
      <c r="E3" s="170"/>
      <c r="F3" s="170"/>
      <c r="G3" s="170"/>
      <c r="H3" s="170"/>
      <c r="I3" s="170"/>
      <c r="J3" s="170"/>
      <c r="K3" s="170"/>
      <c r="L3" s="170"/>
      <c r="M3" s="170"/>
      <c r="N3" s="170"/>
      <c r="O3" s="170"/>
      <c r="P3" s="170"/>
      <c r="Q3" s="170"/>
      <c r="R3" s="170"/>
      <c r="S3" s="170"/>
      <c r="T3" s="170"/>
      <c r="U3" s="170"/>
      <c r="V3" s="170"/>
      <c r="W3" s="170"/>
      <c r="X3" s="170"/>
      <c r="Y3" s="170"/>
      <c r="Z3" s="170"/>
      <c r="AA3" s="170"/>
      <c r="AB3" s="171"/>
    </row>
    <row r="4" spans="1:28" ht="5.0999999999999996" customHeight="1">
      <c r="A4" s="71" t="s">
        <v>131</v>
      </c>
      <c r="B4" s="172"/>
      <c r="C4" s="173"/>
      <c r="D4" s="418" t="str">
        <f>IF($A$2="English",_xlfn.XLOOKUP($A$3,Descriptions!$A:$A,Descriptions!$B:$B),_xlfn.XLOOKUP($A$3,Descriptions!$A:$A,Descriptions!$C:$C))</f>
        <v>Føroyskur CO2-roknari. Ár: 2023</v>
      </c>
      <c r="E4" s="418"/>
      <c r="F4" s="418"/>
      <c r="G4" s="418"/>
      <c r="H4" s="418"/>
      <c r="I4" s="418"/>
      <c r="J4" s="418"/>
      <c r="K4" s="418"/>
      <c r="L4" s="418"/>
      <c r="M4" s="418"/>
      <c r="N4" s="418"/>
      <c r="O4" s="418"/>
      <c r="P4" s="418"/>
      <c r="Q4" s="418"/>
      <c r="R4" s="418"/>
      <c r="S4" s="418"/>
      <c r="T4" s="418"/>
      <c r="U4" s="418"/>
      <c r="V4" s="418"/>
      <c r="W4" s="418"/>
      <c r="X4" s="418"/>
      <c r="Y4" s="418"/>
      <c r="Z4" s="418"/>
      <c r="AA4" s="67"/>
      <c r="AB4" s="151"/>
    </row>
    <row r="5" spans="1:28" ht="5.0999999999999996" customHeight="1">
      <c r="A5" s="71" t="s">
        <v>113</v>
      </c>
      <c r="B5" s="166"/>
      <c r="C5" s="173"/>
      <c r="D5" s="418"/>
      <c r="E5" s="418"/>
      <c r="F5" s="418"/>
      <c r="G5" s="418"/>
      <c r="H5" s="418"/>
      <c r="I5" s="418"/>
      <c r="J5" s="418"/>
      <c r="K5" s="418"/>
      <c r="L5" s="418"/>
      <c r="M5" s="418"/>
      <c r="N5" s="418"/>
      <c r="O5" s="418"/>
      <c r="P5" s="418"/>
      <c r="Q5" s="418"/>
      <c r="R5" s="418"/>
      <c r="S5" s="418"/>
      <c r="T5" s="418"/>
      <c r="U5" s="418"/>
      <c r="V5" s="418"/>
      <c r="W5" s="418"/>
      <c r="X5" s="418"/>
      <c r="Y5" s="418"/>
      <c r="Z5" s="418"/>
      <c r="AA5" s="67"/>
      <c r="AB5" s="151"/>
    </row>
    <row r="6" spans="1:28" ht="5.0999999999999996" customHeight="1">
      <c r="A6" s="71" t="s">
        <v>270</v>
      </c>
      <c r="B6" s="166"/>
      <c r="C6" s="173"/>
      <c r="D6" s="418"/>
      <c r="E6" s="418"/>
      <c r="F6" s="418"/>
      <c r="G6" s="418"/>
      <c r="H6" s="418"/>
      <c r="I6" s="418"/>
      <c r="J6" s="418"/>
      <c r="K6" s="418"/>
      <c r="L6" s="418"/>
      <c r="M6" s="418"/>
      <c r="N6" s="418"/>
      <c r="O6" s="418"/>
      <c r="P6" s="418"/>
      <c r="Q6" s="418"/>
      <c r="R6" s="418"/>
      <c r="S6" s="418"/>
      <c r="T6" s="418"/>
      <c r="U6" s="418"/>
      <c r="V6" s="418"/>
      <c r="W6" s="418"/>
      <c r="X6" s="418"/>
      <c r="Y6" s="418"/>
      <c r="Z6" s="418"/>
      <c r="AA6" s="67"/>
      <c r="AB6" s="151"/>
    </row>
    <row r="7" spans="1:28" ht="5.0999999999999996" customHeight="1">
      <c r="A7" s="71" t="s">
        <v>243</v>
      </c>
      <c r="B7" s="166"/>
      <c r="C7" s="173"/>
      <c r="D7" s="418"/>
      <c r="E7" s="418"/>
      <c r="F7" s="418"/>
      <c r="G7" s="418"/>
      <c r="H7" s="418"/>
      <c r="I7" s="418"/>
      <c r="J7" s="418"/>
      <c r="K7" s="418"/>
      <c r="L7" s="418"/>
      <c r="M7" s="418"/>
      <c r="N7" s="418"/>
      <c r="O7" s="418"/>
      <c r="P7" s="418"/>
      <c r="Q7" s="418"/>
      <c r="R7" s="418"/>
      <c r="S7" s="418"/>
      <c r="T7" s="418"/>
      <c r="U7" s="418"/>
      <c r="V7" s="418"/>
      <c r="W7" s="418"/>
      <c r="X7" s="418"/>
      <c r="Y7" s="418"/>
      <c r="Z7" s="418"/>
      <c r="AA7" s="67"/>
      <c r="AB7" s="151"/>
    </row>
    <row r="8" spans="1:28" ht="5.0999999999999996" customHeight="1">
      <c r="A8" s="71" t="s">
        <v>252</v>
      </c>
      <c r="B8" s="166"/>
      <c r="C8" s="173"/>
      <c r="D8" s="418"/>
      <c r="E8" s="418"/>
      <c r="F8" s="418"/>
      <c r="G8" s="418"/>
      <c r="H8" s="418"/>
      <c r="I8" s="418"/>
      <c r="J8" s="418"/>
      <c r="K8" s="418"/>
      <c r="L8" s="418"/>
      <c r="M8" s="418"/>
      <c r="N8" s="418"/>
      <c r="O8" s="418"/>
      <c r="P8" s="418"/>
      <c r="Q8" s="418"/>
      <c r="R8" s="418"/>
      <c r="S8" s="418"/>
      <c r="T8" s="418"/>
      <c r="U8" s="418"/>
      <c r="V8" s="418"/>
      <c r="W8" s="418"/>
      <c r="X8" s="418"/>
      <c r="Y8" s="418"/>
      <c r="Z8" s="418"/>
      <c r="AA8" s="67"/>
      <c r="AB8" s="151"/>
    </row>
    <row r="9" spans="1:28" ht="5.0999999999999996" customHeight="1">
      <c r="A9" s="71" t="s">
        <v>167</v>
      </c>
      <c r="B9" s="166"/>
      <c r="C9" s="173"/>
      <c r="D9" s="418"/>
      <c r="E9" s="418"/>
      <c r="F9" s="418"/>
      <c r="G9" s="418"/>
      <c r="H9" s="418"/>
      <c r="I9" s="418"/>
      <c r="J9" s="418"/>
      <c r="K9" s="418"/>
      <c r="L9" s="418"/>
      <c r="M9" s="418"/>
      <c r="N9" s="418"/>
      <c r="O9" s="418"/>
      <c r="P9" s="418"/>
      <c r="Q9" s="418"/>
      <c r="R9" s="418"/>
      <c r="S9" s="418"/>
      <c r="T9" s="418"/>
      <c r="U9" s="418"/>
      <c r="V9" s="418"/>
      <c r="W9" s="418"/>
      <c r="X9" s="418"/>
      <c r="Y9" s="418"/>
      <c r="Z9" s="418"/>
      <c r="AA9" s="67"/>
      <c r="AB9" s="151"/>
    </row>
    <row r="10" spans="1:28" ht="5.0999999999999996" customHeight="1">
      <c r="A10" s="71" t="s">
        <v>168</v>
      </c>
      <c r="B10" s="166"/>
      <c r="C10" s="173"/>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67"/>
      <c r="AB10" s="151"/>
    </row>
    <row r="11" spans="1:28" ht="5.0999999999999996" customHeight="1">
      <c r="A11" s="71" t="s">
        <v>169</v>
      </c>
      <c r="B11" s="166"/>
      <c r="C11" s="173"/>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67"/>
      <c r="AB11" s="151"/>
    </row>
    <row r="12" spans="1:28" ht="99.95" customHeight="1">
      <c r="A12" s="71" t="s">
        <v>170</v>
      </c>
      <c r="B12" s="166"/>
      <c r="C12" s="173"/>
      <c r="D12" s="419" t="str">
        <f>IF($A$2="English",_xlfn.XLOOKUP($A$5,Descriptions!$A:$A,Descriptions!$B:$B),_xlfn.XLOOKUP($A$5,Descriptions!$A:$A,Descriptions!$C:$C))</f>
        <v>V3 - Starvsfólkaferðing</v>
      </c>
      <c r="E12" s="419"/>
      <c r="F12" s="419"/>
      <c r="G12" s="419"/>
      <c r="H12" s="419"/>
      <c r="I12" s="419"/>
      <c r="J12" s="419"/>
      <c r="K12" s="419"/>
      <c r="L12" s="419"/>
      <c r="M12" s="419"/>
      <c r="N12" s="419"/>
      <c r="O12" s="419"/>
      <c r="P12" s="419"/>
      <c r="Q12" s="419"/>
      <c r="R12" s="419"/>
      <c r="S12" s="419"/>
      <c r="T12" s="419"/>
      <c r="U12" s="419"/>
      <c r="V12" s="419"/>
      <c r="W12" s="419"/>
      <c r="X12" s="419"/>
      <c r="Y12" s="419"/>
      <c r="Z12" s="419"/>
      <c r="AA12" s="67"/>
      <c r="AB12" s="151"/>
    </row>
    <row r="13" spans="1:28">
      <c r="A13" s="71" t="s">
        <v>171</v>
      </c>
      <c r="B13" s="166"/>
      <c r="C13" s="173"/>
      <c r="D13" s="67"/>
      <c r="E13" s="67"/>
      <c r="F13" s="67"/>
      <c r="G13" s="67"/>
      <c r="H13" s="67"/>
      <c r="I13" s="67"/>
      <c r="J13" s="67"/>
      <c r="K13" s="67"/>
      <c r="L13" s="67"/>
      <c r="M13" s="67"/>
      <c r="N13" s="67"/>
      <c r="O13" s="67"/>
      <c r="P13" s="67"/>
      <c r="Q13" s="67"/>
      <c r="R13" s="67"/>
      <c r="S13" s="67"/>
      <c r="T13" s="67"/>
      <c r="U13" s="67"/>
      <c r="V13" s="67"/>
      <c r="W13" s="67"/>
      <c r="X13" s="67"/>
      <c r="Y13" s="67"/>
      <c r="Z13" s="67"/>
      <c r="AA13" s="67"/>
      <c r="AB13" s="151"/>
    </row>
    <row r="14" spans="1:28" ht="30" customHeight="1">
      <c r="A14" s="71" t="s">
        <v>172</v>
      </c>
      <c r="B14" s="166"/>
      <c r="C14" s="173"/>
      <c r="D14" s="437" t="str">
        <f>IF($A$2="English",_xlfn.XLOOKUP($A$4,Descriptions!$A:$A,Descriptions!$B:$B),_xlfn.XLOOKUP($A$4,Descriptions!$A:$A,Descriptions!$C:$C))</f>
        <v>Vegleiðing</v>
      </c>
      <c r="E14" s="437"/>
      <c r="F14" s="437"/>
      <c r="G14" s="437"/>
      <c r="H14" s="437"/>
      <c r="I14" s="437"/>
      <c r="J14" s="437"/>
      <c r="K14" s="437"/>
      <c r="L14" s="437"/>
      <c r="M14" s="437"/>
      <c r="N14" s="437"/>
      <c r="O14" s="67"/>
      <c r="P14" s="347" t="str">
        <f>'V3 - Business Travel'!P14</f>
        <v>Key</v>
      </c>
      <c r="Q14" s="67"/>
      <c r="R14" s="67"/>
      <c r="S14" s="67"/>
      <c r="T14" s="67"/>
      <c r="U14" s="67"/>
      <c r="V14" s="67"/>
      <c r="W14" s="67"/>
      <c r="X14" s="67"/>
      <c r="Y14" s="67"/>
      <c r="Z14" s="67"/>
      <c r="AA14" s="67"/>
      <c r="AB14" s="151"/>
    </row>
    <row r="15" spans="1:28" ht="14.1" customHeight="1">
      <c r="A15" s="71" t="s">
        <v>173</v>
      </c>
      <c r="B15" s="166"/>
      <c r="C15" s="173"/>
      <c r="D15" s="424" t="str">
        <f>IF($A$2="English",_xlfn.XLOOKUP($A$6,Descriptions!$A:$A,Descriptions!$B:$B),_xlfn.XLOOKUP($A$6,Descriptions!$A:$A,Descriptions!$C:$C))</f>
        <v>Vav 3 - Starvsfólkaferðing fevnir um flutning av starvsfólki millum bústað og arbeiðsstað. Fyritøkur skulu boða frá samlaða ferðateini hjá starvsfólki í fráboðanarttðarskeiðnum (t.d. ferðafólk.km) og nýttum flutningshættum (t.d. tokum, bussum, bilum). Hesar dátur kunnu savnast gjøgnum spurnabløð ella metast eftir starvsfólkatali, miðalteini til arbeiðsstað og metingum um flutningshátt.
Kravdar dátur:
• Fasilitetur/ogn og staðseting (haðan ferðast verður) - valfrítt
• Virksemi (í sambandi við ferðing) - valfrítt
• Flutningsháttur
• Útlátskelda
• Ferðateinur tils.
• Eind fyri ferðatein
GG:
• Ferðafólk.km - Ferðateinur hjá hvørjum einstøkum ferðafólki við viðkomandi flutningshátti. Akfars-km-faktorur skulu setast á heil akfør (t.d. ein bil ella hýruvogn), ið verða brúkt til arbeiðsørindi. Ferðafólka-km-faktorar skulu brúkast, tá ið einstøk ferðafólk ferðast við samferðslu (t.d. toki), og málið er at boða frá útláti fyri hvønn einstakan persón, ikki fyri alt akfarið.</v>
      </c>
      <c r="E15" s="424"/>
      <c r="F15" s="424"/>
      <c r="G15" s="424"/>
      <c r="H15" s="424"/>
      <c r="I15" s="424"/>
      <c r="J15" s="424"/>
      <c r="K15" s="424"/>
      <c r="L15" s="424"/>
      <c r="M15" s="424"/>
      <c r="N15" s="424"/>
      <c r="O15" s="67"/>
      <c r="P15" s="81" t="str">
        <f>'V3 - Business Travel'!P15</f>
        <v>Dátuíkast - Fallmynd</v>
      </c>
      <c r="Q15" s="94"/>
      <c r="R15" s="67"/>
      <c r="S15" s="67"/>
      <c r="T15" s="67"/>
      <c r="U15" s="67"/>
      <c r="V15" s="67"/>
      <c r="W15" s="67"/>
      <c r="X15" s="67"/>
      <c r="Y15" s="67"/>
      <c r="Z15" s="67"/>
      <c r="AA15" s="67"/>
      <c r="AB15" s="151"/>
    </row>
    <row r="16" spans="1:28" ht="14.1" customHeight="1">
      <c r="A16" s="71" t="s">
        <v>175</v>
      </c>
      <c r="B16" s="166"/>
      <c r="C16" s="173"/>
      <c r="D16" s="424"/>
      <c r="E16" s="424"/>
      <c r="F16" s="424"/>
      <c r="G16" s="424"/>
      <c r="H16" s="424"/>
      <c r="I16" s="424"/>
      <c r="J16" s="424"/>
      <c r="K16" s="424"/>
      <c r="L16" s="424"/>
      <c r="M16" s="424"/>
      <c r="N16" s="424"/>
      <c r="O16" s="67"/>
      <c r="P16" s="82" t="str">
        <f>'V3 - Business Travel'!P16</f>
        <v>Dátuíkast - Tøppa inn</v>
      </c>
      <c r="Q16" s="94"/>
      <c r="R16" s="94"/>
      <c r="S16" s="67"/>
      <c r="T16" s="67"/>
      <c r="U16" s="67"/>
      <c r="V16" s="67"/>
      <c r="W16" s="67"/>
      <c r="X16" s="67"/>
      <c r="Y16" s="67"/>
      <c r="Z16" s="67"/>
      <c r="AA16" s="67"/>
      <c r="AB16" s="151"/>
    </row>
    <row r="17" spans="1:28" ht="14.1" customHeight="1">
      <c r="A17" s="71" t="s">
        <v>176</v>
      </c>
      <c r="B17" s="166"/>
      <c r="C17" s="173"/>
      <c r="D17" s="424"/>
      <c r="E17" s="424"/>
      <c r="F17" s="424"/>
      <c r="G17" s="424"/>
      <c r="H17" s="424"/>
      <c r="I17" s="424"/>
      <c r="J17" s="424"/>
      <c r="K17" s="424"/>
      <c r="L17" s="424"/>
      <c r="M17" s="424"/>
      <c r="N17" s="424"/>
      <c r="O17" s="67"/>
      <c r="P17" s="302" t="str">
        <f>'V3 - Business Travel'!P17</f>
        <v>Leiting (fastløst)</v>
      </c>
      <c r="Q17" s="94"/>
      <c r="R17" s="94"/>
      <c r="S17" s="67"/>
      <c r="T17" s="67"/>
      <c r="U17" s="67"/>
      <c r="V17" s="67"/>
      <c r="W17" s="67"/>
      <c r="X17" s="67"/>
      <c r="Y17" s="67"/>
      <c r="Z17" s="67"/>
      <c r="AA17" s="67"/>
      <c r="AB17" s="151"/>
    </row>
    <row r="18" spans="1:28" ht="14.1" customHeight="1">
      <c r="A18" s="71" t="s">
        <v>177</v>
      </c>
      <c r="B18" s="166"/>
      <c r="C18" s="173"/>
      <c r="D18" s="424"/>
      <c r="E18" s="424"/>
      <c r="F18" s="424"/>
      <c r="G18" s="424"/>
      <c r="H18" s="424"/>
      <c r="I18" s="424"/>
      <c r="J18" s="424"/>
      <c r="K18" s="424"/>
      <c r="L18" s="424"/>
      <c r="M18" s="424"/>
      <c r="N18" s="424"/>
      <c r="O18" s="67"/>
      <c r="P18" s="83" t="str">
        <f>'V3 - Business Travel'!P18</f>
        <v>Útrokning</v>
      </c>
      <c r="Q18" s="94"/>
      <c r="R18" s="94"/>
      <c r="S18" s="67"/>
      <c r="T18" s="67"/>
      <c r="U18" s="67"/>
      <c r="V18" s="67"/>
      <c r="W18" s="67"/>
      <c r="X18" s="67"/>
      <c r="Y18" s="67"/>
      <c r="Z18" s="67"/>
      <c r="AA18" s="67"/>
      <c r="AB18" s="151"/>
    </row>
    <row r="19" spans="1:28" ht="90" customHeight="1">
      <c r="A19" s="71" t="s">
        <v>178</v>
      </c>
      <c r="B19" s="166"/>
      <c r="C19" s="173"/>
      <c r="D19" s="424"/>
      <c r="E19" s="424"/>
      <c r="F19" s="424"/>
      <c r="G19" s="424"/>
      <c r="H19" s="424"/>
      <c r="I19" s="424"/>
      <c r="J19" s="424"/>
      <c r="K19" s="424"/>
      <c r="L19" s="424"/>
      <c r="M19" s="424"/>
      <c r="N19" s="424"/>
      <c r="O19" s="67"/>
      <c r="P19" s="122"/>
      <c r="Q19" s="94"/>
      <c r="R19" s="94"/>
      <c r="S19" s="67"/>
      <c r="T19" s="67"/>
      <c r="U19" s="67"/>
      <c r="V19" s="67"/>
      <c r="W19" s="67"/>
      <c r="X19" s="67"/>
      <c r="Y19" s="67"/>
      <c r="Z19" s="67"/>
      <c r="AA19" s="67"/>
      <c r="AB19" s="151"/>
    </row>
    <row r="20" spans="1:28" ht="90" customHeight="1">
      <c r="A20" s="71" t="s">
        <v>179</v>
      </c>
      <c r="B20" s="166"/>
      <c r="C20" s="173"/>
      <c r="D20" s="424"/>
      <c r="E20" s="424"/>
      <c r="F20" s="424"/>
      <c r="G20" s="424"/>
      <c r="H20" s="424"/>
      <c r="I20" s="424"/>
      <c r="J20" s="424"/>
      <c r="K20" s="424"/>
      <c r="L20" s="424"/>
      <c r="M20" s="424"/>
      <c r="N20" s="424"/>
      <c r="O20" s="67"/>
      <c r="P20" s="67"/>
      <c r="Q20" s="94"/>
      <c r="R20" s="94"/>
      <c r="S20" s="67"/>
      <c r="T20" s="67"/>
      <c r="U20" s="67"/>
      <c r="V20" s="67"/>
      <c r="W20" s="67"/>
      <c r="X20" s="67"/>
      <c r="Y20" s="67"/>
      <c r="Z20" s="67"/>
      <c r="AA20" s="67"/>
      <c r="AB20" s="151"/>
    </row>
    <row r="21" spans="1:28" ht="15.6" customHeight="1">
      <c r="A21" s="71" t="s">
        <v>180</v>
      </c>
      <c r="B21" s="166"/>
      <c r="C21" s="173"/>
      <c r="D21" s="67"/>
      <c r="E21" s="67"/>
      <c r="F21" s="67"/>
      <c r="G21" s="67"/>
      <c r="H21" s="67"/>
      <c r="I21" s="67"/>
      <c r="J21" s="67"/>
      <c r="K21" s="67"/>
      <c r="L21" s="67"/>
      <c r="M21" s="67"/>
      <c r="N21" s="67"/>
      <c r="O21" s="67"/>
      <c r="P21" s="67"/>
      <c r="Q21" s="67"/>
      <c r="R21" s="67"/>
      <c r="S21" s="67"/>
      <c r="AA21" s="67"/>
      <c r="AB21" s="151"/>
    </row>
    <row r="22" spans="1:28" ht="30" customHeight="1">
      <c r="A22" s="71" t="s">
        <v>181</v>
      </c>
      <c r="B22" s="166"/>
      <c r="C22" s="173"/>
      <c r="D22" s="438" t="str">
        <f>IF($A$2="English",_xlfn.XLOOKUP($A$9,Descriptions!$A:$A,Descriptions!$B:$B),_xlfn.XLOOKUP($A$9,Descriptions!$A:$A,Descriptions!$C:$C))</f>
        <v>Dømi</v>
      </c>
      <c r="E22" s="438"/>
      <c r="F22" s="438"/>
      <c r="G22" s="438"/>
      <c r="H22" s="438"/>
      <c r="I22" s="438"/>
      <c r="J22" s="438"/>
      <c r="K22" s="438"/>
      <c r="L22" s="438"/>
      <c r="M22" s="438"/>
      <c r="N22" s="438"/>
      <c r="O22" s="438"/>
      <c r="P22" s="438"/>
      <c r="Q22" s="438"/>
      <c r="R22" s="438"/>
      <c r="S22" s="67"/>
      <c r="T22" s="437" t="str">
        <f>IF($A$2="English",_xlfn.XLOOKUP($A$26,Descriptions!$A:$A,Descriptions!$B:$B),_xlfn.XLOOKUP($A$26,Descriptions!$A:$A,Descriptions!$C:$C))</f>
        <v>Vav 3 - Virksemi tengt at brennievni og orku</v>
      </c>
      <c r="U22" s="437"/>
      <c r="V22" s="437"/>
      <c r="W22" s="437"/>
      <c r="X22" s="437"/>
      <c r="Y22" s="437"/>
      <c r="Z22" s="437"/>
      <c r="AA22" s="67"/>
      <c r="AB22" s="151"/>
    </row>
    <row r="23" spans="1:28" ht="30" customHeight="1">
      <c r="A23" s="71" t="s">
        <v>182</v>
      </c>
      <c r="B23" s="166"/>
      <c r="C23" s="173"/>
      <c r="D23" s="331" t="str">
        <f>IF($A$2="English",_xlfn.XLOOKUP($A$10,Descriptions!$A:$A,Descriptions!$B:$B),_xlfn.XLOOKUP($A$10,Descriptions!$A:$A,Descriptions!$C:$C))</f>
        <v>Fasilitetur/Ogn og staðseting</v>
      </c>
      <c r="E23" s="331" t="str">
        <f>IF($A$2="English",_xlfn.XLOOKUP($A$11,Descriptions!$A:$A,Descriptions!$B:$B),_xlfn.XLOOKUP($A$11,Descriptions!$A:$A,Descriptions!$C:$C))</f>
        <v>Virksemi</v>
      </c>
      <c r="F23" s="331" t="str">
        <f>IF($A$2="English",_xlfn.XLOOKUP($A$7,Descriptions!$A:$A,Descriptions!$B:$B),_xlfn.XLOOKUP($A$7,Descriptions!$A:$A,Descriptions!$C:$C))</f>
        <v>Flutningsháttur</v>
      </c>
      <c r="G23" s="331" t="str">
        <f>IF($A$2="English",_xlfn.XLOOKUP($A$8,Descriptions!$A:$A,Descriptions!$B:$B),_xlfn.XLOOKUP($A$8,Descriptions!$A:$A,Descriptions!$C:$C))</f>
        <v>Útlátskelda</v>
      </c>
      <c r="H23" s="331" t="s">
        <v>185</v>
      </c>
      <c r="I23" s="331" t="str">
        <f>IF($A$2="English",_xlfn.XLOOKUP($A$15,Descriptions!$A:$A,Descriptions!$B:$B),_xlfn.XLOOKUP($A$15,Descriptions!$A:$A,Descriptions!$C:$C))</f>
        <v>Nøgd</v>
      </c>
      <c r="J23" s="331" t="str">
        <f>IF($A$2="English",_xlfn.XLOOKUP($A$16,Descriptions!$A:$A,Descriptions!$B:$B),_xlfn.XLOOKUP($A$16,Descriptions!$A:$A,Descriptions!$C:$C))</f>
        <v>Eindir</v>
      </c>
      <c r="K23" s="331" t="s">
        <v>186</v>
      </c>
      <c r="L23" s="331" t="s">
        <v>187</v>
      </c>
      <c r="M23" s="331" t="s">
        <v>188</v>
      </c>
      <c r="N23" s="331" t="str">
        <f>IF($A$2="English",_xlfn.XLOOKUP($A$20,Descriptions!$A:$A,Descriptions!$B:$B),_xlfn.XLOOKUP($A$20,Descriptions!$A:$A,Descriptions!$C:$C))</f>
        <v>Útlátsfaktorur</v>
      </c>
      <c r="O23" s="331" t="str">
        <f>IF($A$2="English",_xlfn.XLOOKUP($A$21,Descriptions!$A:$A,Descriptions!$B:$B),_xlfn.XLOOKUP($A$21,Descriptions!$A:$A,Descriptions!$C:$C))</f>
        <v>Útlátsfaktorur Eind</v>
      </c>
      <c r="P23" s="331" t="str">
        <f>IF($A$2="English",_xlfn.XLOOKUP($A$22,Descriptions!$A:$A,Descriptions!$B:$B),_xlfn.XLOOKUP($A$22,Descriptions!$A:$A,Descriptions!$C:$C))</f>
        <v>Útlát av vakstrarhúsgassi (tons av CO2e)</v>
      </c>
      <c r="Q23" s="331" t="str">
        <f>IF($A$2="English",_xlfn.XLOOKUP($A$23,Descriptions!$A:$A,Descriptions!$B:$B),_xlfn.XLOOKUP($A$23,Descriptions!$A:$A,Descriptions!$C:$C))</f>
        <v>Kelda Útlátsfaktorur</v>
      </c>
      <c r="R23" s="331" t="str">
        <f>IF($A$2="English",_xlfn.XLOOKUP($A$24,Descriptions!$A:$A,Descriptions!$B:$B),_xlfn.XLOOKUP($A$24,Descriptions!$A:$A,Descriptions!$C:$C))</f>
        <v>Viðmerking frá brúkara</v>
      </c>
      <c r="S23" s="67"/>
      <c r="T23" s="331" t="s">
        <v>186</v>
      </c>
      <c r="U23" s="331" t="s">
        <v>187</v>
      </c>
      <c r="V23" s="331" t="s">
        <v>188</v>
      </c>
      <c r="W23" s="331" t="str">
        <f>IF($A$2="English",_xlfn.XLOOKUP($A$20,Descriptions!$A:$A,Descriptions!$B:$B),_xlfn.XLOOKUP($A$20,Descriptions!$A:$A,Descriptions!$C:$C))</f>
        <v>Útlátsfaktorur</v>
      </c>
      <c r="X23" s="331" t="str">
        <f>IF($A$2="English",_xlfn.XLOOKUP($A$21,Descriptions!$A:$A,Descriptions!$B:$B),_xlfn.XLOOKUP($A$21,Descriptions!$A:$A,Descriptions!$C:$C))</f>
        <v>Útlátsfaktorur Eind</v>
      </c>
      <c r="Y23" s="331" t="str">
        <f>IF($A$2="English",_xlfn.XLOOKUP($A$22,Descriptions!$A:$A,Descriptions!$B:$B),_xlfn.XLOOKUP($A$22,Descriptions!$A:$A,Descriptions!$C:$C))</f>
        <v>Útlát av vakstrarhúsgassi (tons av CO2e)</v>
      </c>
      <c r="Z23" s="331" t="str">
        <f>IF($A$2="English",_xlfn.XLOOKUP($A$23,Descriptions!$A:$A,Descriptions!$B:$B),_xlfn.XLOOKUP($A$23,Descriptions!$A:$A,Descriptions!$C:$C))</f>
        <v>Kelda Útlátsfaktorur</v>
      </c>
      <c r="AA23" s="67"/>
      <c r="AB23" s="151"/>
    </row>
    <row r="24" spans="1:28">
      <c r="A24" s="71" t="s">
        <v>183</v>
      </c>
      <c r="B24" s="166"/>
      <c r="C24" s="173"/>
      <c r="D24" s="95" t="s">
        <v>233</v>
      </c>
      <c r="E24" s="96" t="s">
        <v>271</v>
      </c>
      <c r="F24" s="95" t="s">
        <v>272</v>
      </c>
      <c r="G24" s="95" t="s">
        <v>203</v>
      </c>
      <c r="H24" s="97" t="str">
        <f>G24&amp;F24</f>
        <v>DieselPassenger cars</v>
      </c>
      <c r="I24" s="201">
        <v>20000</v>
      </c>
      <c r="J24" s="95" t="s">
        <v>264</v>
      </c>
      <c r="K24" s="97" t="str">
        <f>IF(J24="","",J24)</f>
        <v>km</v>
      </c>
      <c r="L24" s="303" t="str" cm="1">
        <f t="array" ref="L24">IF(J24="","",_xlfn.XLOOKUP(H24&amp;J24,'Emission Factors'!$M$353:$M$382&amp;'Emission Factors'!$U$353:$U$382,'Emission Factors'!$U$353:$U$382))</f>
        <v>km</v>
      </c>
      <c r="M24" s="305">
        <f>IFERROR(IF(J24="","",INDEX(Conversions!$C$4:$I$10,MATCH('V2 - District Heating'!$K22,Conversions!$B$4:$B$10,0),MATCH('V2 - District Heating'!$L22,Conversions!$C$3:$I$3,0))),1)</f>
        <v>1</v>
      </c>
      <c r="N24" s="304" cm="1">
        <f t="array" ref="N24">IF(J24="","",_xlfn.XLOOKUP(H24&amp;J24,'Emission Factors'!$M$353:$M$382&amp;'Emission Factors'!$U$353:$U$382,'Emission Factors'!$T$353:$T$382)*M24)</f>
        <v>0.16982644888053691</v>
      </c>
      <c r="O24" s="305" t="str">
        <f>IF(J24="","","kgCO2e/"&amp;K24)</f>
        <v>kgCO2e/km</v>
      </c>
      <c r="P24" s="155">
        <f t="shared" ref="P24:P25" si="0">IF(ISBLANK(I24)=TRUE,"",IF(ISBLANK(N24)=TRUE,"",I24*N24)/1000)</f>
        <v>3.3965289776107386</v>
      </c>
      <c r="Q24" s="303" t="str">
        <f>IF(J24="","",_xlfn.XLOOKUP(H24,'Emission Factors'!$M:$M,'Emission Factors'!$W:$W))</f>
        <v>UK Government (BEIS) Greenhouse gas reporting: conversion factors (2023) - Business travel- land - Cars (by size) - Average car - Diesel</v>
      </c>
      <c r="R24" s="96" t="s">
        <v>273</v>
      </c>
      <c r="S24" s="67"/>
      <c r="T24" s="303" t="str">
        <f>K24</f>
        <v>km</v>
      </c>
      <c r="U24" s="303" t="str" cm="1">
        <f t="array" ref="U24">IF(J24="","",_xlfn.XLOOKUP(G24&amp;K24,'Emission Factors'!$K$432:$K$787&amp;'Emission Factors'!$U$432:$U$787,'Emission Factors'!$U$432:$U$787))</f>
        <v>km</v>
      </c>
      <c r="V24" s="332">
        <f>IFERROR(IF(J24="","",INDEX(Conversions!$C$4:$I$10,MATCH($T24,Conversions!$B$4:$B$10,0),MATCH($U24,Conversions!$C$3:$I$3,0))),1)</f>
        <v>1</v>
      </c>
      <c r="W24" s="309">
        <f>IF(J24="","",_xlfn.XLOOKUP(H24,'Emission Factors'!$M$432:$M$787,'Emission Factors'!$S$432:$S$787)*V24)</f>
        <v>4.104E-2</v>
      </c>
      <c r="X24" s="305" t="str">
        <f>IF(J24="","","kgCO2e/"&amp;T24)</f>
        <v>kgCO2e/km</v>
      </c>
      <c r="Y24" s="129">
        <f>IF(ISBLANK(I24)=TRUE,"",IF(ISBLANK(W24)=TRUE,"",I24*W24)/1000)</f>
        <v>0.82079999999999997</v>
      </c>
      <c r="Z24" s="303" t="str">
        <f>IF(J24="","",_xlfn.XLOOKUP(H24,'Emission Factors'!$M$432:$M$787,'Emission Factors'!$W$432:$W$787))</f>
        <v>UK Government (BEIS) Greenhouse gas reporting: conversion factors (2023) - WTT - Passenger vehs &amp; travel - WTT - cars (by size) - land - Diesel</v>
      </c>
      <c r="AA24" s="67"/>
      <c r="AB24" s="151"/>
    </row>
    <row r="25" spans="1:28">
      <c r="A25" s="71" t="s">
        <v>199</v>
      </c>
      <c r="B25" s="166"/>
      <c r="C25" s="173"/>
      <c r="D25" s="95" t="s">
        <v>274</v>
      </c>
      <c r="E25" s="96" t="s">
        <v>271</v>
      </c>
      <c r="F25" s="95" t="s">
        <v>262</v>
      </c>
      <c r="G25" s="95" t="s">
        <v>263</v>
      </c>
      <c r="H25" s="97" t="str">
        <f>G25&amp;F25</f>
        <v>Regular taxiTaxi</v>
      </c>
      <c r="I25" s="201">
        <v>1000</v>
      </c>
      <c r="J25" s="95" t="s">
        <v>264</v>
      </c>
      <c r="K25" s="97" t="str">
        <f t="shared" ref="K25" si="1">IF(J25="","",J25)</f>
        <v>km</v>
      </c>
      <c r="L25" s="303" t="str" cm="1">
        <f t="array" ref="L25">IF(J25="","",_xlfn.XLOOKUP(H25&amp;J25,'Emission Factors'!$M$353:$M$382&amp;'Emission Factors'!$U$353:$U$382,'Emission Factors'!$U$353:$U$382))</f>
        <v>km</v>
      </c>
      <c r="M25" s="305">
        <f>IFERROR(IF(J25="","",INDEX(Conversions!$C$4:$I$10,MATCH('V2 - District Heating'!$K23,Conversions!$B$4:$B$10,0),MATCH('V2 - District Heating'!$L23,Conversions!$C$3:$I$3,0))),1)</f>
        <v>1</v>
      </c>
      <c r="N25" s="304" cm="1">
        <f t="array" ref="N25">IF(J25="","",_xlfn.XLOOKUP(H25&amp;J25,'Emission Factors'!$M$353:$M$382&amp;'Emission Factors'!$U$353:$U$382,'Emission Factors'!$T$353:$T$382)*M25)</f>
        <v>0.20805644888053693</v>
      </c>
      <c r="O25" s="305" t="str">
        <f t="shared" ref="O25" si="2">IF(J25="","","kgCO2e/"&amp;K25)</f>
        <v>kgCO2e/km</v>
      </c>
      <c r="P25" s="155">
        <f t="shared" si="0"/>
        <v>0.20805644888053693</v>
      </c>
      <c r="Q25" s="303" t="str">
        <f>IF(J25="","",_xlfn.XLOOKUP(H25,'Emission Factors'!$M:$M,'Emission Factors'!$W:$W))</f>
        <v>UK Government (BEIS) Greenhouse gas reporting: conversion factors (2023) - Business travel- land - Taxis - Regular Taxi</v>
      </c>
      <c r="R25" s="96" t="s">
        <v>273</v>
      </c>
      <c r="S25" s="67"/>
      <c r="T25" s="303" t="str">
        <f t="shared" ref="T25" si="3">K25</f>
        <v>km</v>
      </c>
      <c r="U25" s="303" t="str" cm="1">
        <f t="array" ref="U25">IF(J25="","",_xlfn.XLOOKUP(G25&amp;K25,'Emission Factors'!$K$432:$K$787&amp;'Emission Factors'!$U$432:$U$787,'Emission Factors'!$U$432:$U$787))</f>
        <v>km</v>
      </c>
      <c r="V25" s="332">
        <f>IFERROR(IF(J25="","",INDEX(Conversions!$C$4:$I$10,MATCH($T25,Conversions!$B$4:$B$10,0),MATCH($U25,Conversions!$C$3:$I$3,0))),1)</f>
        <v>1</v>
      </c>
      <c r="W25" s="309">
        <f>IF(J25="","",_xlfn.XLOOKUP(H25,'Emission Factors'!$M$432:$M$787,'Emission Factors'!$S$432:$S$787)*V25)</f>
        <v>5.0849999999999999E-2</v>
      </c>
      <c r="X25" s="305" t="str">
        <f t="shared" ref="X25" si="4">IF(J25="","","kgCO2e/"&amp;T25)</f>
        <v>kgCO2e/km</v>
      </c>
      <c r="Y25" s="129">
        <f>IF(ISBLANK(I25)=TRUE,"",IF(ISBLANK(W25)=TRUE,"",I25*W25)/1000)</f>
        <v>5.0849999999999999E-2</v>
      </c>
      <c r="Z25" s="303" t="str">
        <f>IF(J25="","",_xlfn.XLOOKUP(H25,'Emission Factors'!$M$432:$M$787,'Emission Factors'!$W$432:$W$787))</f>
        <v>UK Government (BEIS) Greenhouse gas reporting: conversion factors (2023) - WTT - Passenger vehs &amp; travel - WTT - taxis - land - Regular taxi</v>
      </c>
      <c r="AA25" s="67"/>
      <c r="AB25" s="151"/>
    </row>
    <row r="26" spans="1:28">
      <c r="A26" s="71" t="s">
        <v>184</v>
      </c>
      <c r="B26" s="166"/>
      <c r="C26" s="173"/>
      <c r="D26" s="67"/>
      <c r="E26" s="67"/>
      <c r="F26" s="67"/>
      <c r="G26" s="67"/>
      <c r="H26" s="67"/>
      <c r="I26" s="67"/>
      <c r="J26" s="67"/>
      <c r="K26" s="67"/>
      <c r="L26" s="67"/>
      <c r="M26" s="67"/>
      <c r="N26" s="67"/>
      <c r="O26" s="67"/>
      <c r="P26" s="67"/>
      <c r="Q26" s="67"/>
      <c r="R26" s="67"/>
      <c r="S26" s="67"/>
      <c r="T26" s="67"/>
      <c r="U26" s="67"/>
      <c r="V26" s="67"/>
      <c r="W26" s="67"/>
      <c r="X26" s="67"/>
      <c r="Y26" s="67"/>
      <c r="Z26" s="67"/>
      <c r="AA26" s="67"/>
      <c r="AB26" s="151"/>
    </row>
    <row r="27" spans="1:28" ht="15.6" customHeight="1">
      <c r="A27" s="71" t="s">
        <v>146</v>
      </c>
      <c r="B27" s="166"/>
      <c r="C27" s="173"/>
      <c r="D27" s="338" t="str">
        <f>'V3 - Business Travel'!D27</f>
        <v>Fyritøka</v>
      </c>
      <c r="E27" s="343">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151"/>
    </row>
    <row r="28" spans="1:28" ht="17.25" customHeight="1">
      <c r="A28" s="71" t="s">
        <v>115</v>
      </c>
      <c r="B28" s="166"/>
      <c r="C28" s="173"/>
      <c r="D28" s="67"/>
      <c r="E28" s="67"/>
      <c r="F28" s="67"/>
      <c r="G28" s="67"/>
      <c r="H28" s="67"/>
      <c r="I28" s="67"/>
      <c r="J28" s="67"/>
      <c r="K28" s="67"/>
      <c r="L28" s="67"/>
      <c r="M28" s="67"/>
      <c r="N28" s="67"/>
      <c r="O28" s="67"/>
      <c r="P28" s="94"/>
      <c r="Q28" s="67"/>
      <c r="R28" s="67"/>
      <c r="S28" s="67"/>
      <c r="T28" s="67"/>
      <c r="U28" s="67"/>
      <c r="V28" s="67"/>
      <c r="W28" s="67"/>
      <c r="X28" s="67"/>
      <c r="Y28" s="67"/>
      <c r="Z28" s="67"/>
      <c r="AA28" s="67"/>
      <c r="AB28" s="151"/>
    </row>
    <row r="29" spans="1:28" ht="30" customHeight="1">
      <c r="B29" s="166"/>
      <c r="C29" s="173"/>
      <c r="D29" s="437" t="str">
        <f>IF($A$2="English",_xlfn.XLOOKUP($A$28,Descriptions!$A:$A,Descriptions!$B:$B),_xlfn.XLOOKUP($A$28,Descriptions!$A:$A,Descriptions!$C:$C))</f>
        <v>Talva við útlátsútrokningum</v>
      </c>
      <c r="E29" s="437"/>
      <c r="F29" s="437"/>
      <c r="G29" s="437"/>
      <c r="H29" s="437"/>
      <c r="I29" s="437"/>
      <c r="J29" s="437"/>
      <c r="K29" s="437"/>
      <c r="L29" s="437"/>
      <c r="M29" s="437"/>
      <c r="N29" s="437"/>
      <c r="O29" s="437"/>
      <c r="P29" s="437"/>
      <c r="Q29" s="437"/>
      <c r="R29" s="437"/>
      <c r="S29" s="67"/>
      <c r="T29" s="67"/>
      <c r="U29" s="67"/>
      <c r="V29" s="67"/>
      <c r="W29" s="67"/>
      <c r="X29" s="67"/>
      <c r="Y29" s="67"/>
      <c r="Z29" s="67"/>
      <c r="AA29" s="67"/>
      <c r="AB29" s="151"/>
    </row>
    <row r="30" spans="1:28" ht="30" customHeight="1">
      <c r="B30" s="166"/>
      <c r="C30" s="173"/>
      <c r="D30" s="331" t="str">
        <f>D23</f>
        <v>Fasilitetur/Ogn og staðseting</v>
      </c>
      <c r="E30" s="331" t="str">
        <f t="shared" ref="E30:Z30" si="5">E23</f>
        <v>Virksemi</v>
      </c>
      <c r="F30" s="331" t="str">
        <f t="shared" si="5"/>
        <v>Flutningsháttur</v>
      </c>
      <c r="G30" s="331" t="str">
        <f t="shared" si="5"/>
        <v>Útlátskelda</v>
      </c>
      <c r="H30" s="331" t="str">
        <f t="shared" si="5"/>
        <v>Concat</v>
      </c>
      <c r="I30" s="331" t="str">
        <f t="shared" si="5"/>
        <v>Nøgd</v>
      </c>
      <c r="J30" s="331" t="str">
        <f t="shared" si="5"/>
        <v>Eindir</v>
      </c>
      <c r="K30" s="331" t="str">
        <f t="shared" si="5"/>
        <v>Input Unit</v>
      </c>
      <c r="L30" s="331" t="str">
        <f t="shared" si="5"/>
        <v>Source Emission Factor Unit</v>
      </c>
      <c r="M30" s="331" t="str">
        <f t="shared" si="5"/>
        <v>Conversion Factor</v>
      </c>
      <c r="N30" s="331" t="str">
        <f t="shared" si="5"/>
        <v>Útlátsfaktorur</v>
      </c>
      <c r="O30" s="331" t="str">
        <f t="shared" si="5"/>
        <v>Útlátsfaktorur Eind</v>
      </c>
      <c r="P30" s="331" t="str">
        <f t="shared" si="5"/>
        <v>Útlát av vakstrarhúsgassi (tons av CO2e)</v>
      </c>
      <c r="Q30" s="331" t="str">
        <f t="shared" si="5"/>
        <v>Kelda Útlátsfaktorur</v>
      </c>
      <c r="R30" s="331" t="str">
        <f t="shared" si="5"/>
        <v>Viðmerking frá brúkara</v>
      </c>
      <c r="S30" s="67"/>
      <c r="T30" s="331" t="str">
        <f t="shared" si="5"/>
        <v>Input Unit</v>
      </c>
      <c r="U30" s="331" t="str">
        <f t="shared" si="5"/>
        <v>Source Emission Factor Unit</v>
      </c>
      <c r="V30" s="331" t="str">
        <f t="shared" si="5"/>
        <v>Conversion Factor</v>
      </c>
      <c r="W30" s="331" t="str">
        <f t="shared" si="5"/>
        <v>Útlátsfaktorur</v>
      </c>
      <c r="X30" s="331" t="str">
        <f t="shared" si="5"/>
        <v>Útlátsfaktorur Eind</v>
      </c>
      <c r="Y30" s="331" t="str">
        <f t="shared" si="5"/>
        <v>Útlát av vakstrarhúsgassi (tons av CO2e)</v>
      </c>
      <c r="Z30" s="331" t="str">
        <f t="shared" si="5"/>
        <v>Kelda Útlátsfaktorur</v>
      </c>
      <c r="AA30" s="67"/>
      <c r="AB30" s="151"/>
    </row>
    <row r="31" spans="1:28">
      <c r="B31" s="166"/>
      <c r="C31" s="173"/>
      <c r="D31" s="103"/>
      <c r="E31" s="104"/>
      <c r="F31" s="103"/>
      <c r="G31" s="103"/>
      <c r="H31" s="105" t="str">
        <f t="shared" ref="H31:H60" si="6">G31&amp;F31</f>
        <v/>
      </c>
      <c r="I31" s="106"/>
      <c r="J31" s="103"/>
      <c r="K31" s="97" t="str">
        <f>IF(J31="","",J31)</f>
        <v/>
      </c>
      <c r="L31" s="303" t="str" cm="1">
        <f t="array" ref="L31">IF(J31="","",_xlfn.XLOOKUP(H31&amp;J31,'Emission Factors'!$M$353:$M$382&amp;'Emission Factors'!$U$353:$U$382,'Emission Factors'!$U$353:$U$382))</f>
        <v/>
      </c>
      <c r="M31" s="305" t="str">
        <f>IFERROR(IF(J31="","",INDEX(Conversions!$C$4:$I$10,MATCH('V2 - District Heating'!$K31,Conversions!$B$4:$B$10,0),MATCH('V2 - District Heating'!$L31,Conversions!$C$3:$I$3,0))),1)</f>
        <v/>
      </c>
      <c r="N31" s="304" t="str" cm="1">
        <f t="array" ref="N31">IF(J31="","",_xlfn.XLOOKUP(H31&amp;J31,'Emission Factors'!$M$353:$M$382&amp;'Emission Factors'!$U$353:$U$382,'Emission Factors'!$T$353:$T$382)*M31)</f>
        <v/>
      </c>
      <c r="O31" s="305" t="str">
        <f>IF(J31="","","kgCO2e/"&amp;K31)</f>
        <v/>
      </c>
      <c r="P31" s="202" t="str">
        <f t="shared" ref="P31:P60" si="7">IF(ISBLANK(I31)=TRUE,"",IF(ISBLANK(N31)=TRUE,"",I31*N31)/1000)</f>
        <v/>
      </c>
      <c r="Q31" s="303" t="str">
        <f>IF(J31="","",_xlfn.XLOOKUP(H31,'Emission Factors'!$M:$M,'Emission Factors'!$W:$W))</f>
        <v/>
      </c>
      <c r="R31" s="104"/>
      <c r="S31" s="67"/>
      <c r="T31" s="303" t="str">
        <f>K31</f>
        <v/>
      </c>
      <c r="U31" s="303" t="str" cm="1">
        <f t="array" ref="U31">IF(J31="","",_xlfn.XLOOKUP(G31&amp;K31,'Emission Factors'!$K$432:$K$787&amp;'Emission Factors'!$U$432:$U$787,'Emission Factors'!$U$432:$U$787))</f>
        <v/>
      </c>
      <c r="V31" s="332" t="str">
        <f>IFERROR(IF(J31="","",INDEX(Conversions!$C$4:$I$10,MATCH($T31,Conversions!$B$4:$B$10,0),MATCH($U31,Conversions!$C$3:$I$3,0))),1)</f>
        <v/>
      </c>
      <c r="W31" s="309" t="str">
        <f>IF(J31="","",_xlfn.XLOOKUP(H31,'Emission Factors'!$M$432:$M$787,'Emission Factors'!$S$432:$S$787)*V31)</f>
        <v/>
      </c>
      <c r="X31" s="305" t="str">
        <f>IF(J31="","","kgCO2e/"&amp;T31)</f>
        <v/>
      </c>
      <c r="Y31" s="129" t="str">
        <f>IF(ISBLANK(I31)=TRUE,"",IF(ISBLANK(W31)=TRUE,"",I31*W31)/1000)</f>
        <v/>
      </c>
      <c r="Z31" s="303" t="str">
        <f>IF(J31="","",_xlfn.XLOOKUP(H31,'Emission Factors'!$M$432:$M$787,'Emission Factors'!$W$432:$W$787))</f>
        <v/>
      </c>
      <c r="AA31" s="67"/>
      <c r="AB31" s="151"/>
    </row>
    <row r="32" spans="1:28">
      <c r="B32" s="166"/>
      <c r="C32" s="173"/>
      <c r="D32" s="103"/>
      <c r="E32" s="104"/>
      <c r="F32" s="103"/>
      <c r="G32" s="103"/>
      <c r="H32" s="105" t="str">
        <f t="shared" si="6"/>
        <v/>
      </c>
      <c r="I32" s="106"/>
      <c r="J32" s="103"/>
      <c r="K32" s="97" t="str">
        <f t="shared" ref="K32:K60" si="8">IF(J32="","",J32)</f>
        <v/>
      </c>
      <c r="L32" s="303" t="str" cm="1">
        <f t="array" ref="L32">IF(J32="","",_xlfn.XLOOKUP(H32&amp;J32,'Emission Factors'!$M$353:$M$382&amp;'Emission Factors'!$U$353:$U$382,'Emission Factors'!$U$353:$U$382))</f>
        <v/>
      </c>
      <c r="M32" s="305" t="str">
        <f>IFERROR(IF(J32="","",INDEX(Conversions!$C$4:$I$10,MATCH('V2 - District Heating'!$K32,Conversions!$B$4:$B$10,0),MATCH('V2 - District Heating'!$L32,Conversions!$C$3:$I$3,0))),1)</f>
        <v/>
      </c>
      <c r="N32" s="304" t="str" cm="1">
        <f t="array" ref="N32">IF(J32="","",_xlfn.XLOOKUP(H32&amp;J32,'Emission Factors'!$M$353:$M$382&amp;'Emission Factors'!$U$353:$U$382,'Emission Factors'!$T$353:$T$382)*M32)</f>
        <v/>
      </c>
      <c r="O32" s="305" t="str">
        <f t="shared" ref="O32:O60" si="9">IF(J32="","","kgCO2e/"&amp;K32)</f>
        <v/>
      </c>
      <c r="P32" s="202" t="str">
        <f t="shared" si="7"/>
        <v/>
      </c>
      <c r="Q32" s="303" t="str">
        <f>IF(J32="","",_xlfn.XLOOKUP(H32,'Emission Factors'!$M:$M,'Emission Factors'!$W:$W))</f>
        <v/>
      </c>
      <c r="R32" s="104"/>
      <c r="S32" s="67"/>
      <c r="T32" s="303" t="str">
        <f t="shared" ref="T32:T60" si="10">K32</f>
        <v/>
      </c>
      <c r="U32" s="303" t="str" cm="1">
        <f t="array" ref="U32">IF(J32="","",_xlfn.XLOOKUP(G32&amp;K32,'Emission Factors'!$K$432:$K$787&amp;'Emission Factors'!$U$432:$U$787,'Emission Factors'!$U$432:$U$787))</f>
        <v/>
      </c>
      <c r="V32" s="332" t="str">
        <f>IFERROR(IF(J32="","",INDEX(Conversions!$C$4:$I$10,MATCH($T32,Conversions!$B$4:$B$10,0),MATCH($U32,Conversions!$C$3:$I$3,0))),1)</f>
        <v/>
      </c>
      <c r="W32" s="309" t="str">
        <f>IF(J32="","",_xlfn.XLOOKUP(H32,'Emission Factors'!$M$432:$M$787,'Emission Factors'!$S$432:$S$787)*V32)</f>
        <v/>
      </c>
      <c r="X32" s="305" t="str">
        <f t="shared" ref="X32:X60" si="11">IF(J32="","","kgCO2e/"&amp;T32)</f>
        <v/>
      </c>
      <c r="Y32" s="129" t="str">
        <f t="shared" ref="Y32:Y60" si="12">IF(ISBLANK(I32)=TRUE,"",IF(ISBLANK(W32)=TRUE,"",I32*W32)/1000)</f>
        <v/>
      </c>
      <c r="Z32" s="303" t="str">
        <f>IF(J32="","",_xlfn.XLOOKUP(H32,'Emission Factors'!$M$432:$M$787,'Emission Factors'!$W$432:$W$787))</f>
        <v/>
      </c>
      <c r="AA32" s="67"/>
      <c r="AB32" s="151"/>
    </row>
    <row r="33" spans="2:28">
      <c r="B33" s="166"/>
      <c r="C33" s="173"/>
      <c r="D33" s="103"/>
      <c r="E33" s="104"/>
      <c r="F33" s="103"/>
      <c r="G33" s="103"/>
      <c r="H33" s="105" t="str">
        <f>G33&amp;F33</f>
        <v/>
      </c>
      <c r="I33" s="106"/>
      <c r="J33" s="103"/>
      <c r="K33" s="97" t="str">
        <f>IF(J33="","",J33)</f>
        <v/>
      </c>
      <c r="L33" s="303" t="str" cm="1">
        <f t="array" ref="L33">IF(J33="","",_xlfn.XLOOKUP(H33&amp;J33,'Emission Factors'!$M$353:$M$382&amp;'Emission Factors'!$U$353:$U$382,'Emission Factors'!$U$353:$U$382))</f>
        <v/>
      </c>
      <c r="M33" s="305" t="str">
        <f>IFERROR(IF(J33="","",INDEX(Conversions!$C$4:$I$10,MATCH('V2 - District Heating'!$K33,Conversions!$B$4:$B$10,0),MATCH('V2 - District Heating'!$L33,Conversions!$C$3:$I$3,0))),1)</f>
        <v/>
      </c>
      <c r="N33" s="304" t="str" cm="1">
        <f t="array" ref="N33">IF(J33="","",_xlfn.XLOOKUP(H33&amp;J33,'Emission Factors'!$M$353:$M$382&amp;'Emission Factors'!$U$353:$U$382,'Emission Factors'!$T$353:$T$382)*M33)</f>
        <v/>
      </c>
      <c r="O33" s="305" t="str">
        <f>IF(J33="","","kgCO2e/"&amp;K33)</f>
        <v/>
      </c>
      <c r="P33" s="202" t="str">
        <f>IF(ISBLANK(I33)=TRUE,"",IF(ISBLANK(N33)=TRUE,"",I33*N33)/1000)</f>
        <v/>
      </c>
      <c r="Q33" s="303" t="str">
        <f>IF(J33="","",_xlfn.XLOOKUP(H33,'Emission Factors'!$M:$M,'Emission Factors'!$W:$W))</f>
        <v/>
      </c>
      <c r="R33" s="104"/>
      <c r="S33" s="67"/>
      <c r="T33" s="303" t="str">
        <f t="shared" si="10"/>
        <v/>
      </c>
      <c r="U33" s="303" t="str" cm="1">
        <f t="array" ref="U33">IF(J33="","",_xlfn.XLOOKUP(G33&amp;K33,'Emission Factors'!$K$432:$K$787&amp;'Emission Factors'!$U$432:$U$787,'Emission Factors'!$U$432:$U$787))</f>
        <v/>
      </c>
      <c r="V33" s="332" t="str">
        <f>IFERROR(IF(J33="","",INDEX(Conversions!$C$4:$I$10,MATCH($T33,Conversions!$B$4:$B$10,0),MATCH($U33,Conversions!$C$3:$I$3,0))),1)</f>
        <v/>
      </c>
      <c r="W33" s="309" t="str">
        <f>IF(J33="","",_xlfn.XLOOKUP(H33,'Emission Factors'!$M$432:$M$787,'Emission Factors'!$S$432:$S$787)*V33)</f>
        <v/>
      </c>
      <c r="X33" s="305" t="str">
        <f>IF(J33="","","kgCO2e/"&amp;T33)</f>
        <v/>
      </c>
      <c r="Y33" s="129" t="str">
        <f>IF(ISBLANK(I33)=TRUE,"",IF(ISBLANK(W33)=TRUE,"",I33*W33)/1000)</f>
        <v/>
      </c>
      <c r="Z33" s="303" t="str">
        <f>IF(J33="","",_xlfn.XLOOKUP(H33,'Emission Factors'!$M$432:$M$787,'Emission Factors'!$W$432:$W$787))</f>
        <v/>
      </c>
      <c r="AA33" s="67"/>
      <c r="AB33" s="151"/>
    </row>
    <row r="34" spans="2:28">
      <c r="B34" s="166"/>
      <c r="C34" s="173"/>
      <c r="D34" s="103"/>
      <c r="E34" s="104"/>
      <c r="F34" s="103"/>
      <c r="G34" s="103"/>
      <c r="H34" s="105" t="str">
        <f>G34&amp;F34</f>
        <v/>
      </c>
      <c r="I34" s="106"/>
      <c r="J34" s="103"/>
      <c r="K34" s="97" t="str">
        <f>IF(J34="","",J34)</f>
        <v/>
      </c>
      <c r="L34" s="303" t="str" cm="1">
        <f t="array" ref="L34">IF(J34="","",_xlfn.XLOOKUP(H34&amp;J34,'Emission Factors'!$M$353:$M$382&amp;'Emission Factors'!$U$353:$U$382,'Emission Factors'!$U$353:$U$382))</f>
        <v/>
      </c>
      <c r="M34" s="305" t="str">
        <f>IFERROR(IF(J34="","",INDEX(Conversions!$C$4:$I$10,MATCH('V2 - District Heating'!$K34,Conversions!$B$4:$B$10,0),MATCH('V2 - District Heating'!$L34,Conversions!$C$3:$I$3,0))),1)</f>
        <v/>
      </c>
      <c r="N34" s="304" t="str" cm="1">
        <f t="array" ref="N34">IF(J34="","",_xlfn.XLOOKUP(H34&amp;J34,'Emission Factors'!$M$353:$M$382&amp;'Emission Factors'!$U$353:$U$382,'Emission Factors'!$T$353:$T$382)*M34)</f>
        <v/>
      </c>
      <c r="O34" s="305" t="str">
        <f>IF(J34="","","kgCO2e/"&amp;K34)</f>
        <v/>
      </c>
      <c r="P34" s="202" t="str">
        <f>IF(ISBLANK(I34)=TRUE,"",IF(ISBLANK(N34)=TRUE,"",I34*N34)/1000)</f>
        <v/>
      </c>
      <c r="Q34" s="303" t="str">
        <f>IF(J34="","",_xlfn.XLOOKUP(H34,'Emission Factors'!$M:$M,'Emission Factors'!$W:$W))</f>
        <v/>
      </c>
      <c r="R34" s="104"/>
      <c r="S34" s="67"/>
      <c r="T34" s="303" t="str">
        <f t="shared" si="10"/>
        <v/>
      </c>
      <c r="U34" s="303" t="str" cm="1">
        <f t="array" ref="U34">IF(J34="","",_xlfn.XLOOKUP(G34&amp;K34,'Emission Factors'!$K$432:$K$787&amp;'Emission Factors'!$U$432:$U$787,'Emission Factors'!$U$432:$U$787))</f>
        <v/>
      </c>
      <c r="V34" s="332" t="str">
        <f>IFERROR(IF(J34="","",INDEX(Conversions!$C$4:$I$10,MATCH($T34,Conversions!$B$4:$B$10,0),MATCH($U34,Conversions!$C$3:$I$3,0))),1)</f>
        <v/>
      </c>
      <c r="W34" s="309" t="str">
        <f>IF(J34="","",_xlfn.XLOOKUP(H34,'Emission Factors'!$M$432:$M$787,'Emission Factors'!$S$432:$S$787)*V34)</f>
        <v/>
      </c>
      <c r="X34" s="305" t="str">
        <f>IF(J34="","","kgCO2e/"&amp;T34)</f>
        <v/>
      </c>
      <c r="Y34" s="129" t="str">
        <f>IF(ISBLANK(I34)=TRUE,"",IF(ISBLANK(W34)=TRUE,"",I34*W34)/1000)</f>
        <v/>
      </c>
      <c r="Z34" s="303" t="str">
        <f>IF(J34="","",_xlfn.XLOOKUP(H34,'Emission Factors'!$M$432:$M$787,'Emission Factors'!$W$432:$W$787))</f>
        <v/>
      </c>
      <c r="AA34" s="67"/>
      <c r="AB34" s="151"/>
    </row>
    <row r="35" spans="2:28">
      <c r="B35" s="166"/>
      <c r="C35" s="173"/>
      <c r="D35" s="103"/>
      <c r="E35" s="104"/>
      <c r="F35" s="103"/>
      <c r="G35" s="103"/>
      <c r="H35" s="105" t="str">
        <f t="shared" si="6"/>
        <v/>
      </c>
      <c r="I35" s="106"/>
      <c r="J35" s="103"/>
      <c r="K35" s="97" t="str">
        <f>IF(J35="","",J35)</f>
        <v/>
      </c>
      <c r="L35" s="303" t="str" cm="1">
        <f t="array" ref="L35">IF(J35="","",_xlfn.XLOOKUP(H35&amp;J35,'Emission Factors'!$M$353:$M$382&amp;'Emission Factors'!$U$353:$U$382,'Emission Factors'!$U$353:$U$382))</f>
        <v/>
      </c>
      <c r="M35" s="305" t="str">
        <f>IFERROR(IF(J35="","",INDEX(Conversions!$C$4:$I$10,MATCH('V2 - District Heating'!$K35,Conversions!$B$4:$B$10,0),MATCH('V2 - District Heating'!$L35,Conversions!$C$3:$I$3,0))),1)</f>
        <v/>
      </c>
      <c r="N35" s="304" t="str" cm="1">
        <f t="array" ref="N35">IF(J35="","",_xlfn.XLOOKUP(H35&amp;J35,'Emission Factors'!$M$353:$M$382&amp;'Emission Factors'!$U$353:$U$382,'Emission Factors'!$T$353:$T$382)*M35)</f>
        <v/>
      </c>
      <c r="O35" s="305" t="str">
        <f>IF(J35="","","kgCO2e/"&amp;K35)</f>
        <v/>
      </c>
      <c r="P35" s="202" t="str">
        <f t="shared" si="7"/>
        <v/>
      </c>
      <c r="Q35" s="303" t="str">
        <f>IF(J35="","",_xlfn.XLOOKUP(H35,'Emission Factors'!$M:$M,'Emission Factors'!$W:$W))</f>
        <v/>
      </c>
      <c r="R35" s="104"/>
      <c r="S35" s="67"/>
      <c r="T35" s="303" t="str">
        <f t="shared" si="10"/>
        <v/>
      </c>
      <c r="U35" s="303" t="str" cm="1">
        <f t="array" ref="U35">IF(J35="","",_xlfn.XLOOKUP(G35&amp;K35,'Emission Factors'!$K$432:$K$787&amp;'Emission Factors'!$U$432:$U$787,'Emission Factors'!$U$432:$U$787))</f>
        <v/>
      </c>
      <c r="V35" s="332" t="str">
        <f>IFERROR(IF(J35="","",INDEX(Conversions!$C$4:$I$10,MATCH($T35,Conversions!$B$4:$B$10,0),MATCH($U35,Conversions!$C$3:$I$3,0))),1)</f>
        <v/>
      </c>
      <c r="W35" s="309" t="str">
        <f>IF(J35="","",_xlfn.XLOOKUP(H35,'Emission Factors'!$M$432:$M$787,'Emission Factors'!$S$432:$S$787)*V35)</f>
        <v/>
      </c>
      <c r="X35" s="305" t="str">
        <f>IF(J35="","","kgCO2e/"&amp;T35)</f>
        <v/>
      </c>
      <c r="Y35" s="129" t="str">
        <f t="shared" si="12"/>
        <v/>
      </c>
      <c r="Z35" s="303" t="str">
        <f>IF(J35="","",_xlfn.XLOOKUP(H35,'Emission Factors'!$M$432:$M$787,'Emission Factors'!$W$432:$W$787))</f>
        <v/>
      </c>
      <c r="AA35" s="67"/>
      <c r="AB35" s="151"/>
    </row>
    <row r="36" spans="2:28">
      <c r="B36" s="166"/>
      <c r="C36" s="173"/>
      <c r="D36" s="103"/>
      <c r="E36" s="104"/>
      <c r="F36" s="103"/>
      <c r="G36" s="103"/>
      <c r="H36" s="105" t="str">
        <f t="shared" si="6"/>
        <v/>
      </c>
      <c r="I36" s="106"/>
      <c r="J36" s="103"/>
      <c r="K36" s="97" t="str">
        <f t="shared" si="8"/>
        <v/>
      </c>
      <c r="L36" s="303" t="str" cm="1">
        <f t="array" ref="L36">IF(J36="","",_xlfn.XLOOKUP(H36&amp;J36,'Emission Factors'!$M$353:$M$382&amp;'Emission Factors'!$U$353:$U$382,'Emission Factors'!$U$353:$U$382))</f>
        <v/>
      </c>
      <c r="M36" s="305" t="str">
        <f>IFERROR(IF(J36="","",INDEX(Conversions!$C$4:$I$10,MATCH('V2 - District Heating'!$K36,Conversions!$B$4:$B$10,0),MATCH('V2 - District Heating'!$L36,Conversions!$C$3:$I$3,0))),1)</f>
        <v/>
      </c>
      <c r="N36" s="304" t="str" cm="1">
        <f t="array" ref="N36">IF(J36="","",_xlfn.XLOOKUP(H36&amp;J36,'Emission Factors'!$M$353:$M$382&amp;'Emission Factors'!$U$353:$U$382,'Emission Factors'!$T$353:$T$382)*M36)</f>
        <v/>
      </c>
      <c r="O36" s="305" t="str">
        <f t="shared" si="9"/>
        <v/>
      </c>
      <c r="P36" s="202" t="str">
        <f t="shared" si="7"/>
        <v/>
      </c>
      <c r="Q36" s="303" t="str">
        <f>IF(J36="","",_xlfn.XLOOKUP(H36,'Emission Factors'!$M:$M,'Emission Factors'!$W:$W))</f>
        <v/>
      </c>
      <c r="R36" s="104"/>
      <c r="S36" s="67"/>
      <c r="T36" s="303" t="str">
        <f t="shared" si="10"/>
        <v/>
      </c>
      <c r="U36" s="303" t="str" cm="1">
        <f t="array" ref="U36">IF(J36="","",_xlfn.XLOOKUP(G36&amp;K36,'Emission Factors'!$K$432:$K$787&amp;'Emission Factors'!$U$432:$U$787,'Emission Factors'!$U$432:$U$787))</f>
        <v/>
      </c>
      <c r="V36" s="332" t="str">
        <f>IFERROR(IF(J36="","",INDEX(Conversions!$C$4:$I$10,MATCH($T36,Conversions!$B$4:$B$10,0),MATCH($U36,Conversions!$C$3:$I$3,0))),1)</f>
        <v/>
      </c>
      <c r="W36" s="309" t="str">
        <f>IF(J36="","",_xlfn.XLOOKUP(H36,'Emission Factors'!$M$432:$M$787,'Emission Factors'!$S$432:$S$787)*V36)</f>
        <v/>
      </c>
      <c r="X36" s="305" t="str">
        <f t="shared" si="11"/>
        <v/>
      </c>
      <c r="Y36" s="129" t="str">
        <f t="shared" si="12"/>
        <v/>
      </c>
      <c r="Z36" s="303" t="str">
        <f>IF(J36="","",_xlfn.XLOOKUP(H36,'Emission Factors'!$M$432:$M$787,'Emission Factors'!$W$432:$W$787))</f>
        <v/>
      </c>
      <c r="AA36" s="67"/>
      <c r="AB36" s="151"/>
    </row>
    <row r="37" spans="2:28">
      <c r="B37" s="166"/>
      <c r="C37" s="173"/>
      <c r="D37" s="103"/>
      <c r="E37" s="104"/>
      <c r="F37" s="103"/>
      <c r="G37" s="103"/>
      <c r="H37" s="105" t="str">
        <f t="shared" si="6"/>
        <v/>
      </c>
      <c r="I37" s="106"/>
      <c r="J37" s="103"/>
      <c r="K37" s="97" t="str">
        <f t="shared" si="8"/>
        <v/>
      </c>
      <c r="L37" s="303" t="str" cm="1">
        <f t="array" ref="L37">IF(J37="","",_xlfn.XLOOKUP(H37&amp;J37,'Emission Factors'!$M$353:$M$382&amp;'Emission Factors'!$U$353:$U$382,'Emission Factors'!$U$353:$U$382))</f>
        <v/>
      </c>
      <c r="M37" s="305" t="str">
        <f>IFERROR(IF(J37="","",INDEX(Conversions!$C$4:$I$10,MATCH('V2 - District Heating'!$K37,Conversions!$B$4:$B$10,0),MATCH('V2 - District Heating'!$L37,Conversions!$C$3:$I$3,0))),1)</f>
        <v/>
      </c>
      <c r="N37" s="304" t="str" cm="1">
        <f t="array" ref="N37">IF(J37="","",_xlfn.XLOOKUP(H37&amp;J37,'Emission Factors'!$M$353:$M$382&amp;'Emission Factors'!$U$353:$U$382,'Emission Factors'!$T$353:$T$382)*M37)</f>
        <v/>
      </c>
      <c r="O37" s="305" t="str">
        <f t="shared" si="9"/>
        <v/>
      </c>
      <c r="P37" s="202" t="str">
        <f t="shared" si="7"/>
        <v/>
      </c>
      <c r="Q37" s="303" t="str">
        <f>IF(J37="","",_xlfn.XLOOKUP(H37,'Emission Factors'!$M:$M,'Emission Factors'!$W:$W))</f>
        <v/>
      </c>
      <c r="R37" s="104"/>
      <c r="S37" s="67"/>
      <c r="T37" s="303" t="str">
        <f t="shared" si="10"/>
        <v/>
      </c>
      <c r="U37" s="303" t="str" cm="1">
        <f t="array" ref="U37">IF(J37="","",_xlfn.XLOOKUP(G37&amp;K37,'Emission Factors'!$K$432:$K$787&amp;'Emission Factors'!$U$432:$U$787,'Emission Factors'!$U$432:$U$787))</f>
        <v/>
      </c>
      <c r="V37" s="332" t="str">
        <f>IFERROR(IF(J37="","",INDEX(Conversions!$C$4:$I$10,MATCH($T37,Conversions!$B$4:$B$10,0),MATCH($U37,Conversions!$C$3:$I$3,0))),1)</f>
        <v/>
      </c>
      <c r="W37" s="309" t="str">
        <f>IF(J37="","",_xlfn.XLOOKUP(H37,'Emission Factors'!$M$432:$M$787,'Emission Factors'!$S$432:$S$787)*V37)</f>
        <v/>
      </c>
      <c r="X37" s="305" t="str">
        <f t="shared" si="11"/>
        <v/>
      </c>
      <c r="Y37" s="129" t="str">
        <f t="shared" si="12"/>
        <v/>
      </c>
      <c r="Z37" s="303" t="str">
        <f>IF(J37="","",_xlfn.XLOOKUP(H37,'Emission Factors'!$M$432:$M$787,'Emission Factors'!$W$432:$W$787))</f>
        <v/>
      </c>
      <c r="AA37" s="67"/>
      <c r="AB37" s="151"/>
    </row>
    <row r="38" spans="2:28">
      <c r="B38" s="166"/>
      <c r="C38" s="173"/>
      <c r="D38" s="103"/>
      <c r="E38" s="104"/>
      <c r="F38" s="103"/>
      <c r="G38" s="103"/>
      <c r="H38" s="105" t="str">
        <f t="shared" si="6"/>
        <v/>
      </c>
      <c r="I38" s="106"/>
      <c r="J38" s="103"/>
      <c r="K38" s="97" t="str">
        <f t="shared" si="8"/>
        <v/>
      </c>
      <c r="L38" s="303" t="str" cm="1">
        <f t="array" ref="L38">IF(J38="","",_xlfn.XLOOKUP(H38&amp;J38,'Emission Factors'!$M$353:$M$382&amp;'Emission Factors'!$U$353:$U$382,'Emission Factors'!$U$353:$U$382))</f>
        <v/>
      </c>
      <c r="M38" s="305" t="str">
        <f>IFERROR(IF(J38="","",INDEX(Conversions!$C$4:$I$10,MATCH('V2 - District Heating'!$K38,Conversions!$B$4:$B$10,0),MATCH('V2 - District Heating'!$L38,Conversions!$C$3:$I$3,0))),1)</f>
        <v/>
      </c>
      <c r="N38" s="304" t="str" cm="1">
        <f t="array" ref="N38">IF(J38="","",_xlfn.XLOOKUP(H38&amp;J38,'Emission Factors'!$M$353:$M$382&amp;'Emission Factors'!$U$353:$U$382,'Emission Factors'!$T$353:$T$382)*M38)</f>
        <v/>
      </c>
      <c r="O38" s="305" t="str">
        <f t="shared" si="9"/>
        <v/>
      </c>
      <c r="P38" s="202" t="str">
        <f t="shared" si="7"/>
        <v/>
      </c>
      <c r="Q38" s="303" t="str">
        <f>IF(J38="","",_xlfn.XLOOKUP(H38,'Emission Factors'!$M:$M,'Emission Factors'!$W:$W))</f>
        <v/>
      </c>
      <c r="R38" s="104"/>
      <c r="S38" s="67"/>
      <c r="T38" s="303" t="str">
        <f t="shared" si="10"/>
        <v/>
      </c>
      <c r="U38" s="303" t="str" cm="1">
        <f t="array" ref="U38">IF(J38="","",_xlfn.XLOOKUP(G38&amp;K38,'Emission Factors'!$K$432:$K$787&amp;'Emission Factors'!$U$432:$U$787,'Emission Factors'!$U$432:$U$787))</f>
        <v/>
      </c>
      <c r="V38" s="332" t="str">
        <f>IFERROR(IF(J38="","",INDEX(Conversions!$C$4:$I$10,MATCH($T38,Conversions!$B$4:$B$10,0),MATCH($U38,Conversions!$C$3:$I$3,0))),1)</f>
        <v/>
      </c>
      <c r="W38" s="309" t="str">
        <f>IF(J38="","",_xlfn.XLOOKUP(H38,'Emission Factors'!$M$432:$M$787,'Emission Factors'!$S$432:$S$787)*V38)</f>
        <v/>
      </c>
      <c r="X38" s="305" t="str">
        <f t="shared" si="11"/>
        <v/>
      </c>
      <c r="Y38" s="129" t="str">
        <f t="shared" si="12"/>
        <v/>
      </c>
      <c r="Z38" s="303" t="str">
        <f>IF(J38="","",_xlfn.XLOOKUP(H38,'Emission Factors'!$M$432:$M$787,'Emission Factors'!$W$432:$W$787))</f>
        <v/>
      </c>
      <c r="AA38" s="67"/>
      <c r="AB38" s="151"/>
    </row>
    <row r="39" spans="2:28">
      <c r="B39" s="166"/>
      <c r="C39" s="173"/>
      <c r="D39" s="103"/>
      <c r="E39" s="104"/>
      <c r="F39" s="103"/>
      <c r="G39" s="103"/>
      <c r="H39" s="105" t="str">
        <f t="shared" si="6"/>
        <v/>
      </c>
      <c r="I39" s="106"/>
      <c r="J39" s="103"/>
      <c r="K39" s="97" t="str">
        <f t="shared" si="8"/>
        <v/>
      </c>
      <c r="L39" s="303" t="str" cm="1">
        <f t="array" ref="L39">IF(J39="","",_xlfn.XLOOKUP(H39&amp;J39,'Emission Factors'!$M$353:$M$382&amp;'Emission Factors'!$U$353:$U$382,'Emission Factors'!$U$353:$U$382))</f>
        <v/>
      </c>
      <c r="M39" s="305" t="str">
        <f>IFERROR(IF(J39="","",INDEX(Conversions!$C$4:$I$10,MATCH('V2 - District Heating'!$K39,Conversions!$B$4:$B$10,0),MATCH('V2 - District Heating'!$L39,Conversions!$C$3:$I$3,0))),1)</f>
        <v/>
      </c>
      <c r="N39" s="304" t="str" cm="1">
        <f t="array" ref="N39">IF(J39="","",_xlfn.XLOOKUP(H39&amp;J39,'Emission Factors'!$M$353:$M$382&amp;'Emission Factors'!$U$353:$U$382,'Emission Factors'!$T$353:$T$382)*M39)</f>
        <v/>
      </c>
      <c r="O39" s="305" t="str">
        <f t="shared" si="9"/>
        <v/>
      </c>
      <c r="P39" s="202" t="str">
        <f t="shared" si="7"/>
        <v/>
      </c>
      <c r="Q39" s="303" t="str">
        <f>IF(J39="","",_xlfn.XLOOKUP(H39,'Emission Factors'!$M:$M,'Emission Factors'!$W:$W))</f>
        <v/>
      </c>
      <c r="R39" s="104"/>
      <c r="S39" s="67"/>
      <c r="T39" s="303" t="str">
        <f t="shared" si="10"/>
        <v/>
      </c>
      <c r="U39" s="303" t="str" cm="1">
        <f t="array" ref="U39">IF(J39="","",_xlfn.XLOOKUP(G39&amp;K39,'Emission Factors'!$K$432:$K$787&amp;'Emission Factors'!$U$432:$U$787,'Emission Factors'!$U$432:$U$787))</f>
        <v/>
      </c>
      <c r="V39" s="332" t="str">
        <f>IFERROR(IF(J39="","",INDEX(Conversions!$C$4:$I$10,MATCH($T39,Conversions!$B$4:$B$10,0),MATCH($U39,Conversions!$C$3:$I$3,0))),1)</f>
        <v/>
      </c>
      <c r="W39" s="309" t="str">
        <f>IF(J39="","",_xlfn.XLOOKUP(H39,'Emission Factors'!$M$432:$M$787,'Emission Factors'!$S$432:$S$787)*V39)</f>
        <v/>
      </c>
      <c r="X39" s="305" t="str">
        <f t="shared" si="11"/>
        <v/>
      </c>
      <c r="Y39" s="129" t="str">
        <f t="shared" si="12"/>
        <v/>
      </c>
      <c r="Z39" s="303" t="str">
        <f>IF(J39="","",_xlfn.XLOOKUP(H39,'Emission Factors'!$M$432:$M$787,'Emission Factors'!$W$432:$W$787))</f>
        <v/>
      </c>
      <c r="AA39" s="67"/>
      <c r="AB39" s="151"/>
    </row>
    <row r="40" spans="2:28">
      <c r="B40" s="166"/>
      <c r="C40" s="173"/>
      <c r="D40" s="103"/>
      <c r="E40" s="104"/>
      <c r="F40" s="103"/>
      <c r="G40" s="103"/>
      <c r="H40" s="105" t="str">
        <f t="shared" si="6"/>
        <v/>
      </c>
      <c r="I40" s="106"/>
      <c r="J40" s="103"/>
      <c r="K40" s="97" t="str">
        <f t="shared" si="8"/>
        <v/>
      </c>
      <c r="L40" s="303" t="str" cm="1">
        <f t="array" ref="L40">IF(J40="","",_xlfn.XLOOKUP(H40&amp;J40,'Emission Factors'!$M$353:$M$382&amp;'Emission Factors'!$U$353:$U$382,'Emission Factors'!$U$353:$U$382))</f>
        <v/>
      </c>
      <c r="M40" s="305" t="str">
        <f>IFERROR(IF(J40="","",INDEX(Conversions!$C$4:$I$10,MATCH('V2 - District Heating'!$K40,Conversions!$B$4:$B$10,0),MATCH('V2 - District Heating'!$L40,Conversions!$C$3:$I$3,0))),1)</f>
        <v/>
      </c>
      <c r="N40" s="304" t="str" cm="1">
        <f t="array" ref="N40">IF(J40="","",_xlfn.XLOOKUP(H40&amp;J40,'Emission Factors'!$M$353:$M$382&amp;'Emission Factors'!$U$353:$U$382,'Emission Factors'!$T$353:$T$382)*M40)</f>
        <v/>
      </c>
      <c r="O40" s="305" t="str">
        <f t="shared" si="9"/>
        <v/>
      </c>
      <c r="P40" s="202" t="str">
        <f t="shared" si="7"/>
        <v/>
      </c>
      <c r="Q40" s="303" t="str">
        <f>IF(J40="","",_xlfn.XLOOKUP(H40,'Emission Factors'!$M:$M,'Emission Factors'!$W:$W))</f>
        <v/>
      </c>
      <c r="R40" s="104"/>
      <c r="S40" s="67"/>
      <c r="T40" s="303" t="str">
        <f t="shared" si="10"/>
        <v/>
      </c>
      <c r="U40" s="303" t="str" cm="1">
        <f t="array" ref="U40">IF(J40="","",_xlfn.XLOOKUP(G40&amp;K40,'Emission Factors'!$K$432:$K$787&amp;'Emission Factors'!$U$432:$U$787,'Emission Factors'!$U$432:$U$787))</f>
        <v/>
      </c>
      <c r="V40" s="332" t="str">
        <f>IFERROR(IF(J40="","",INDEX(Conversions!$C$4:$I$10,MATCH($T40,Conversions!$B$4:$B$10,0),MATCH($U40,Conversions!$C$3:$I$3,0))),1)</f>
        <v/>
      </c>
      <c r="W40" s="309" t="str">
        <f>IF(J40="","",_xlfn.XLOOKUP(H40,'Emission Factors'!$M$432:$M$787,'Emission Factors'!$S$432:$S$787)*V40)</f>
        <v/>
      </c>
      <c r="X40" s="305" t="str">
        <f t="shared" si="11"/>
        <v/>
      </c>
      <c r="Y40" s="129" t="str">
        <f t="shared" si="12"/>
        <v/>
      </c>
      <c r="Z40" s="303" t="str">
        <f>IF(J40="","",_xlfn.XLOOKUP(H40,'Emission Factors'!$M$432:$M$787,'Emission Factors'!$W$432:$W$787))</f>
        <v/>
      </c>
      <c r="AA40" s="67"/>
      <c r="AB40" s="151"/>
    </row>
    <row r="41" spans="2:28">
      <c r="B41" s="166"/>
      <c r="C41" s="173"/>
      <c r="D41" s="103"/>
      <c r="E41" s="104"/>
      <c r="F41" s="103"/>
      <c r="G41" s="103"/>
      <c r="H41" s="105" t="str">
        <f t="shared" si="6"/>
        <v/>
      </c>
      <c r="I41" s="106"/>
      <c r="J41" s="103"/>
      <c r="K41" s="97" t="str">
        <f t="shared" si="8"/>
        <v/>
      </c>
      <c r="L41" s="303" t="str" cm="1">
        <f t="array" ref="L41">IF(J41="","",_xlfn.XLOOKUP(H41&amp;J41,'Emission Factors'!$M$353:$M$382&amp;'Emission Factors'!$U$353:$U$382,'Emission Factors'!$U$353:$U$382))</f>
        <v/>
      </c>
      <c r="M41" s="305" t="str">
        <f>IFERROR(IF(J41="","",INDEX(Conversions!$C$4:$I$10,MATCH('V2 - District Heating'!$K41,Conversions!$B$4:$B$10,0),MATCH('V2 - District Heating'!$L41,Conversions!$C$3:$I$3,0))),1)</f>
        <v/>
      </c>
      <c r="N41" s="304" t="str" cm="1">
        <f t="array" ref="N41">IF(J41="","",_xlfn.XLOOKUP(H41&amp;J41,'Emission Factors'!$M$353:$M$382&amp;'Emission Factors'!$U$353:$U$382,'Emission Factors'!$T$353:$T$382)*M41)</f>
        <v/>
      </c>
      <c r="O41" s="305" t="str">
        <f t="shared" si="9"/>
        <v/>
      </c>
      <c r="P41" s="202" t="str">
        <f t="shared" si="7"/>
        <v/>
      </c>
      <c r="Q41" s="303" t="str">
        <f>IF(J41="","",_xlfn.XLOOKUP(H41,'Emission Factors'!$M:$M,'Emission Factors'!$W:$W))</f>
        <v/>
      </c>
      <c r="R41" s="104"/>
      <c r="S41" s="67"/>
      <c r="T41" s="303" t="str">
        <f t="shared" si="10"/>
        <v/>
      </c>
      <c r="U41" s="303" t="str" cm="1">
        <f t="array" ref="U41">IF(J41="","",_xlfn.XLOOKUP(G41&amp;K41,'Emission Factors'!$K$432:$K$787&amp;'Emission Factors'!$U$432:$U$787,'Emission Factors'!$U$432:$U$787))</f>
        <v/>
      </c>
      <c r="V41" s="332" t="str">
        <f>IFERROR(IF(J41="","",INDEX(Conversions!$C$4:$I$10,MATCH($T41,Conversions!$B$4:$B$10,0),MATCH($U41,Conversions!$C$3:$I$3,0))),1)</f>
        <v/>
      </c>
      <c r="W41" s="309" t="str">
        <f>IF(J41="","",_xlfn.XLOOKUP(H41,'Emission Factors'!$M$432:$M$787,'Emission Factors'!$S$432:$S$787)*V41)</f>
        <v/>
      </c>
      <c r="X41" s="305" t="str">
        <f t="shared" si="11"/>
        <v/>
      </c>
      <c r="Y41" s="129" t="str">
        <f t="shared" si="12"/>
        <v/>
      </c>
      <c r="Z41" s="303" t="str">
        <f>IF(J41="","",_xlfn.XLOOKUP(H41,'Emission Factors'!$M$432:$M$787,'Emission Factors'!$W$432:$W$787))</f>
        <v/>
      </c>
      <c r="AA41" s="67"/>
      <c r="AB41" s="151"/>
    </row>
    <row r="42" spans="2:28">
      <c r="B42" s="166"/>
      <c r="C42" s="173"/>
      <c r="D42" s="103"/>
      <c r="E42" s="104"/>
      <c r="F42" s="103"/>
      <c r="G42" s="103"/>
      <c r="H42" s="105" t="str">
        <f t="shared" si="6"/>
        <v/>
      </c>
      <c r="I42" s="106"/>
      <c r="J42" s="103"/>
      <c r="K42" s="97" t="str">
        <f t="shared" si="8"/>
        <v/>
      </c>
      <c r="L42" s="303" t="str" cm="1">
        <f t="array" ref="L42">IF(J42="","",_xlfn.XLOOKUP(H42&amp;J42,'Emission Factors'!$M$353:$M$382&amp;'Emission Factors'!$U$353:$U$382,'Emission Factors'!$U$353:$U$382))</f>
        <v/>
      </c>
      <c r="M42" s="305" t="str">
        <f>IFERROR(IF(J42="","",INDEX(Conversions!$C$4:$I$10,MATCH('V2 - District Heating'!$K42,Conversions!$B$4:$B$10,0),MATCH('V2 - District Heating'!$L42,Conversions!$C$3:$I$3,0))),1)</f>
        <v/>
      </c>
      <c r="N42" s="304" t="str" cm="1">
        <f t="array" ref="N42">IF(J42="","",_xlfn.XLOOKUP(H42&amp;J42,'Emission Factors'!$M$353:$M$382&amp;'Emission Factors'!$U$353:$U$382,'Emission Factors'!$T$353:$T$382)*M42)</f>
        <v/>
      </c>
      <c r="O42" s="305" t="str">
        <f t="shared" si="9"/>
        <v/>
      </c>
      <c r="P42" s="202" t="str">
        <f t="shared" si="7"/>
        <v/>
      </c>
      <c r="Q42" s="303" t="str">
        <f>IF(J42="","",_xlfn.XLOOKUP(H42,'Emission Factors'!$M:$M,'Emission Factors'!$W:$W))</f>
        <v/>
      </c>
      <c r="R42" s="104"/>
      <c r="S42" s="67"/>
      <c r="T42" s="303" t="str">
        <f t="shared" si="10"/>
        <v/>
      </c>
      <c r="U42" s="303" t="str" cm="1">
        <f t="array" ref="U42">IF(J42="","",_xlfn.XLOOKUP(G42&amp;K42,'Emission Factors'!$K$432:$K$787&amp;'Emission Factors'!$U$432:$U$787,'Emission Factors'!$U$432:$U$787))</f>
        <v/>
      </c>
      <c r="V42" s="332" t="str">
        <f>IFERROR(IF(J42="","",INDEX(Conversions!$C$4:$I$10,MATCH($T42,Conversions!$B$4:$B$10,0),MATCH($U42,Conversions!$C$3:$I$3,0))),1)</f>
        <v/>
      </c>
      <c r="W42" s="309" t="str">
        <f>IF(J42="","",_xlfn.XLOOKUP(H42,'Emission Factors'!$M$432:$M$787,'Emission Factors'!$S$432:$S$787)*V42)</f>
        <v/>
      </c>
      <c r="X42" s="305" t="str">
        <f t="shared" si="11"/>
        <v/>
      </c>
      <c r="Y42" s="129" t="str">
        <f t="shared" si="12"/>
        <v/>
      </c>
      <c r="Z42" s="303" t="str">
        <f>IF(J42="","",_xlfn.XLOOKUP(H42,'Emission Factors'!$M$432:$M$787,'Emission Factors'!$W$432:$W$787))</f>
        <v/>
      </c>
      <c r="AA42" s="67"/>
      <c r="AB42" s="151"/>
    </row>
    <row r="43" spans="2:28">
      <c r="B43" s="166"/>
      <c r="C43" s="173"/>
      <c r="D43" s="103"/>
      <c r="E43" s="104"/>
      <c r="F43" s="103"/>
      <c r="G43" s="103"/>
      <c r="H43" s="105" t="str">
        <f t="shared" si="6"/>
        <v/>
      </c>
      <c r="I43" s="106"/>
      <c r="J43" s="103"/>
      <c r="K43" s="97" t="str">
        <f t="shared" si="8"/>
        <v/>
      </c>
      <c r="L43" s="303" t="str" cm="1">
        <f t="array" ref="L43">IF(J43="","",_xlfn.XLOOKUP(H43&amp;J43,'Emission Factors'!$M$353:$M$382&amp;'Emission Factors'!$U$353:$U$382,'Emission Factors'!$U$353:$U$382))</f>
        <v/>
      </c>
      <c r="M43" s="305" t="str">
        <f>IFERROR(IF(J43="","",INDEX(Conversions!$C$4:$I$10,MATCH('V2 - District Heating'!$K43,Conversions!$B$4:$B$10,0),MATCH('V2 - District Heating'!$L43,Conversions!$C$3:$I$3,0))),1)</f>
        <v/>
      </c>
      <c r="N43" s="304" t="str" cm="1">
        <f t="array" ref="N43">IF(J43="","",_xlfn.XLOOKUP(H43&amp;J43,'Emission Factors'!$M$353:$M$382&amp;'Emission Factors'!$U$353:$U$382,'Emission Factors'!$T$353:$T$382)*M43)</f>
        <v/>
      </c>
      <c r="O43" s="305" t="str">
        <f t="shared" si="9"/>
        <v/>
      </c>
      <c r="P43" s="202" t="str">
        <f t="shared" si="7"/>
        <v/>
      </c>
      <c r="Q43" s="303" t="str">
        <f>IF(J43="","",_xlfn.XLOOKUP(H43,'Emission Factors'!$M:$M,'Emission Factors'!$W:$W))</f>
        <v/>
      </c>
      <c r="R43" s="104"/>
      <c r="S43" s="67"/>
      <c r="T43" s="303" t="str">
        <f t="shared" si="10"/>
        <v/>
      </c>
      <c r="U43" s="303" t="str" cm="1">
        <f t="array" ref="U43">IF(J43="","",_xlfn.XLOOKUP(G43&amp;K43,'Emission Factors'!$K$432:$K$787&amp;'Emission Factors'!$U$432:$U$787,'Emission Factors'!$U$432:$U$787))</f>
        <v/>
      </c>
      <c r="V43" s="332" t="str">
        <f>IFERROR(IF(J43="","",INDEX(Conversions!$C$4:$I$10,MATCH($T43,Conversions!$B$4:$B$10,0),MATCH($U43,Conversions!$C$3:$I$3,0))),1)</f>
        <v/>
      </c>
      <c r="W43" s="309" t="str">
        <f>IF(J43="","",_xlfn.XLOOKUP(H43,'Emission Factors'!$M$432:$M$787,'Emission Factors'!$S$432:$S$787)*V43)</f>
        <v/>
      </c>
      <c r="X43" s="305" t="str">
        <f t="shared" si="11"/>
        <v/>
      </c>
      <c r="Y43" s="129" t="str">
        <f t="shared" si="12"/>
        <v/>
      </c>
      <c r="Z43" s="303" t="str">
        <f>IF(J43="","",_xlfn.XLOOKUP(H43,'Emission Factors'!$M$432:$M$787,'Emission Factors'!$W$432:$W$787))</f>
        <v/>
      </c>
      <c r="AA43" s="67"/>
      <c r="AB43" s="151"/>
    </row>
    <row r="44" spans="2:28">
      <c r="B44" s="166"/>
      <c r="C44" s="173"/>
      <c r="D44" s="103"/>
      <c r="E44" s="104"/>
      <c r="F44" s="103"/>
      <c r="G44" s="103"/>
      <c r="H44" s="105" t="str">
        <f t="shared" si="6"/>
        <v/>
      </c>
      <c r="I44" s="106"/>
      <c r="J44" s="103"/>
      <c r="K44" s="97" t="str">
        <f t="shared" si="8"/>
        <v/>
      </c>
      <c r="L44" s="303" t="str" cm="1">
        <f t="array" ref="L44">IF(J44="","",_xlfn.XLOOKUP(H44&amp;J44,'Emission Factors'!$M$353:$M$382&amp;'Emission Factors'!$U$353:$U$382,'Emission Factors'!$U$353:$U$382))</f>
        <v/>
      </c>
      <c r="M44" s="305" t="str">
        <f>IFERROR(IF(J44="","",INDEX(Conversions!$C$4:$I$10,MATCH('V2 - District Heating'!$K44,Conversions!$B$4:$B$10,0),MATCH('V2 - District Heating'!$L44,Conversions!$C$3:$I$3,0))),1)</f>
        <v/>
      </c>
      <c r="N44" s="304" t="str" cm="1">
        <f t="array" ref="N44">IF(J44="","",_xlfn.XLOOKUP(H44&amp;J44,'Emission Factors'!$M$353:$M$382&amp;'Emission Factors'!$U$353:$U$382,'Emission Factors'!$T$353:$T$382)*M44)</f>
        <v/>
      </c>
      <c r="O44" s="305" t="str">
        <f t="shared" si="9"/>
        <v/>
      </c>
      <c r="P44" s="202" t="str">
        <f t="shared" si="7"/>
        <v/>
      </c>
      <c r="Q44" s="303" t="str">
        <f>IF(J44="","",_xlfn.XLOOKUP(H44,'Emission Factors'!$M:$M,'Emission Factors'!$W:$W))</f>
        <v/>
      </c>
      <c r="R44" s="104"/>
      <c r="S44" s="67"/>
      <c r="T44" s="303" t="str">
        <f t="shared" si="10"/>
        <v/>
      </c>
      <c r="U44" s="303" t="str" cm="1">
        <f t="array" ref="U44">IF(J44="","",_xlfn.XLOOKUP(G44&amp;K44,'Emission Factors'!$K$432:$K$787&amp;'Emission Factors'!$U$432:$U$787,'Emission Factors'!$U$432:$U$787))</f>
        <v/>
      </c>
      <c r="V44" s="332" t="str">
        <f>IFERROR(IF(J44="","",INDEX(Conversions!$C$4:$I$10,MATCH($T44,Conversions!$B$4:$B$10,0),MATCH($U44,Conversions!$C$3:$I$3,0))),1)</f>
        <v/>
      </c>
      <c r="W44" s="309" t="str">
        <f>IF(J44="","",_xlfn.XLOOKUP(H44,'Emission Factors'!$M$432:$M$787,'Emission Factors'!$S$432:$S$787)*V44)</f>
        <v/>
      </c>
      <c r="X44" s="305" t="str">
        <f t="shared" si="11"/>
        <v/>
      </c>
      <c r="Y44" s="129" t="str">
        <f t="shared" si="12"/>
        <v/>
      </c>
      <c r="Z44" s="303" t="str">
        <f>IF(J44="","",_xlfn.XLOOKUP(H44,'Emission Factors'!$M$432:$M$787,'Emission Factors'!$W$432:$W$787))</f>
        <v/>
      </c>
      <c r="AA44" s="67"/>
      <c r="AB44" s="151"/>
    </row>
    <row r="45" spans="2:28">
      <c r="B45" s="166"/>
      <c r="C45" s="173"/>
      <c r="D45" s="103"/>
      <c r="E45" s="104"/>
      <c r="F45" s="103"/>
      <c r="G45" s="103"/>
      <c r="H45" s="105" t="str">
        <f t="shared" si="6"/>
        <v/>
      </c>
      <c r="I45" s="106"/>
      <c r="J45" s="103"/>
      <c r="K45" s="97" t="str">
        <f t="shared" si="8"/>
        <v/>
      </c>
      <c r="L45" s="303" t="str" cm="1">
        <f t="array" ref="L45">IF(J45="","",_xlfn.XLOOKUP(H45&amp;J45,'Emission Factors'!$M$353:$M$382&amp;'Emission Factors'!$U$353:$U$382,'Emission Factors'!$U$353:$U$382))</f>
        <v/>
      </c>
      <c r="M45" s="305" t="str">
        <f>IFERROR(IF(J45="","",INDEX(Conversions!$C$4:$I$10,MATCH('V2 - District Heating'!$K45,Conversions!$B$4:$B$10,0),MATCH('V2 - District Heating'!$L45,Conversions!$C$3:$I$3,0))),1)</f>
        <v/>
      </c>
      <c r="N45" s="304" t="str" cm="1">
        <f t="array" ref="N45">IF(J45="","",_xlfn.XLOOKUP(H45&amp;J45,'Emission Factors'!$M$353:$M$382&amp;'Emission Factors'!$U$353:$U$382,'Emission Factors'!$T$353:$T$382)*M45)</f>
        <v/>
      </c>
      <c r="O45" s="305" t="str">
        <f t="shared" si="9"/>
        <v/>
      </c>
      <c r="P45" s="202" t="str">
        <f t="shared" si="7"/>
        <v/>
      </c>
      <c r="Q45" s="303" t="str">
        <f>IF(J45="","",_xlfn.XLOOKUP(H45,'Emission Factors'!$M:$M,'Emission Factors'!$W:$W))</f>
        <v/>
      </c>
      <c r="R45" s="104"/>
      <c r="S45" s="67"/>
      <c r="T45" s="303" t="str">
        <f t="shared" si="10"/>
        <v/>
      </c>
      <c r="U45" s="303" t="str" cm="1">
        <f t="array" ref="U45">IF(J45="","",_xlfn.XLOOKUP(G45&amp;K45,'Emission Factors'!$K$432:$K$787&amp;'Emission Factors'!$U$432:$U$787,'Emission Factors'!$U$432:$U$787))</f>
        <v/>
      </c>
      <c r="V45" s="332" t="str">
        <f>IFERROR(IF(J45="","",INDEX(Conversions!$C$4:$I$10,MATCH($T45,Conversions!$B$4:$B$10,0),MATCH($U45,Conversions!$C$3:$I$3,0))),1)</f>
        <v/>
      </c>
      <c r="W45" s="309" t="str">
        <f>IF(J45="","",_xlfn.XLOOKUP(H45,'Emission Factors'!$M$432:$M$787,'Emission Factors'!$S$432:$S$787)*V45)</f>
        <v/>
      </c>
      <c r="X45" s="305" t="str">
        <f t="shared" si="11"/>
        <v/>
      </c>
      <c r="Y45" s="129" t="str">
        <f t="shared" si="12"/>
        <v/>
      </c>
      <c r="Z45" s="303" t="str">
        <f>IF(J45="","",_xlfn.XLOOKUP(H45,'Emission Factors'!$M$432:$M$787,'Emission Factors'!$W$432:$W$787))</f>
        <v/>
      </c>
      <c r="AA45" s="67"/>
      <c r="AB45" s="151"/>
    </row>
    <row r="46" spans="2:28">
      <c r="B46" s="166"/>
      <c r="C46" s="173"/>
      <c r="D46" s="103"/>
      <c r="E46" s="104"/>
      <c r="F46" s="103"/>
      <c r="G46" s="103"/>
      <c r="H46" s="105" t="str">
        <f t="shared" si="6"/>
        <v/>
      </c>
      <c r="I46" s="106"/>
      <c r="J46" s="103"/>
      <c r="K46" s="97" t="str">
        <f t="shared" si="8"/>
        <v/>
      </c>
      <c r="L46" s="303" t="str" cm="1">
        <f t="array" ref="L46">IF(J46="","",_xlfn.XLOOKUP(H46&amp;J46,'Emission Factors'!$M$353:$M$382&amp;'Emission Factors'!$U$353:$U$382,'Emission Factors'!$U$353:$U$382))</f>
        <v/>
      </c>
      <c r="M46" s="305" t="str">
        <f>IFERROR(IF(J46="","",INDEX(Conversions!$C$4:$I$10,MATCH('V2 - District Heating'!$K46,Conversions!$B$4:$B$10,0),MATCH('V2 - District Heating'!$L46,Conversions!$C$3:$I$3,0))),1)</f>
        <v/>
      </c>
      <c r="N46" s="304" t="str" cm="1">
        <f t="array" ref="N46">IF(J46="","",_xlfn.XLOOKUP(H46&amp;J46,'Emission Factors'!$M$353:$M$382&amp;'Emission Factors'!$U$353:$U$382,'Emission Factors'!$T$353:$T$382)*M46)</f>
        <v/>
      </c>
      <c r="O46" s="305" t="str">
        <f t="shared" si="9"/>
        <v/>
      </c>
      <c r="P46" s="202" t="str">
        <f t="shared" si="7"/>
        <v/>
      </c>
      <c r="Q46" s="303" t="str">
        <f>IF(J46="","",_xlfn.XLOOKUP(H46,'Emission Factors'!$M:$M,'Emission Factors'!$W:$W))</f>
        <v/>
      </c>
      <c r="R46" s="104"/>
      <c r="S46" s="67"/>
      <c r="T46" s="303" t="str">
        <f t="shared" si="10"/>
        <v/>
      </c>
      <c r="U46" s="303" t="str" cm="1">
        <f t="array" ref="U46">IF(J46="","",_xlfn.XLOOKUP(G46&amp;K46,'Emission Factors'!$K$432:$K$787&amp;'Emission Factors'!$U$432:$U$787,'Emission Factors'!$U$432:$U$787))</f>
        <v/>
      </c>
      <c r="V46" s="332" t="str">
        <f>IFERROR(IF(J46="","",INDEX(Conversions!$C$4:$I$10,MATCH($T46,Conversions!$B$4:$B$10,0),MATCH($U46,Conversions!$C$3:$I$3,0))),1)</f>
        <v/>
      </c>
      <c r="W46" s="309" t="str">
        <f>IF(J46="","",_xlfn.XLOOKUP(H46,'Emission Factors'!$M$432:$M$787,'Emission Factors'!$S$432:$S$787)*V46)</f>
        <v/>
      </c>
      <c r="X46" s="305" t="str">
        <f t="shared" si="11"/>
        <v/>
      </c>
      <c r="Y46" s="129" t="str">
        <f t="shared" si="12"/>
        <v/>
      </c>
      <c r="Z46" s="303" t="str">
        <f>IF(J46="","",_xlfn.XLOOKUP(H46,'Emission Factors'!$M$432:$M$787,'Emission Factors'!$W$432:$W$787))</f>
        <v/>
      </c>
      <c r="AA46" s="67"/>
      <c r="AB46" s="151"/>
    </row>
    <row r="47" spans="2:28">
      <c r="B47" s="166"/>
      <c r="C47" s="173"/>
      <c r="D47" s="103"/>
      <c r="E47" s="104"/>
      <c r="F47" s="103"/>
      <c r="G47" s="103"/>
      <c r="H47" s="105" t="str">
        <f t="shared" si="6"/>
        <v/>
      </c>
      <c r="I47" s="106"/>
      <c r="J47" s="103"/>
      <c r="K47" s="97" t="str">
        <f t="shared" si="8"/>
        <v/>
      </c>
      <c r="L47" s="303" t="str" cm="1">
        <f t="array" ref="L47">IF(J47="","",_xlfn.XLOOKUP(H47&amp;J47,'Emission Factors'!$M$353:$M$382&amp;'Emission Factors'!$U$353:$U$382,'Emission Factors'!$U$353:$U$382))</f>
        <v/>
      </c>
      <c r="M47" s="305" t="str">
        <f>IFERROR(IF(J47="","",INDEX(Conversions!$C$4:$I$10,MATCH('V2 - District Heating'!$K47,Conversions!$B$4:$B$10,0),MATCH('V2 - District Heating'!$L47,Conversions!$C$3:$I$3,0))),1)</f>
        <v/>
      </c>
      <c r="N47" s="304" t="str" cm="1">
        <f t="array" ref="N47">IF(J47="","",_xlfn.XLOOKUP(H47&amp;J47,'Emission Factors'!$M$353:$M$382&amp;'Emission Factors'!$U$353:$U$382,'Emission Factors'!$T$353:$T$382)*M47)</f>
        <v/>
      </c>
      <c r="O47" s="305" t="str">
        <f t="shared" si="9"/>
        <v/>
      </c>
      <c r="P47" s="202" t="str">
        <f t="shared" si="7"/>
        <v/>
      </c>
      <c r="Q47" s="303" t="str">
        <f>IF(J47="","",_xlfn.XLOOKUP(H47,'Emission Factors'!$M:$M,'Emission Factors'!$W:$W))</f>
        <v/>
      </c>
      <c r="R47" s="104"/>
      <c r="S47" s="67"/>
      <c r="T47" s="303" t="str">
        <f t="shared" si="10"/>
        <v/>
      </c>
      <c r="U47" s="303" t="str" cm="1">
        <f t="array" ref="U47">IF(J47="","",_xlfn.XLOOKUP(G47&amp;K47,'Emission Factors'!$K$432:$K$787&amp;'Emission Factors'!$U$432:$U$787,'Emission Factors'!$U$432:$U$787))</f>
        <v/>
      </c>
      <c r="V47" s="332" t="str">
        <f>IFERROR(IF(J47="","",INDEX(Conversions!$C$4:$I$10,MATCH($T47,Conversions!$B$4:$B$10,0),MATCH($U47,Conversions!$C$3:$I$3,0))),1)</f>
        <v/>
      </c>
      <c r="W47" s="309" t="str">
        <f>IF(J47="","",_xlfn.XLOOKUP(H47,'Emission Factors'!$M$432:$M$787,'Emission Factors'!$S$432:$S$787)*V47)</f>
        <v/>
      </c>
      <c r="X47" s="305" t="str">
        <f t="shared" si="11"/>
        <v/>
      </c>
      <c r="Y47" s="129" t="str">
        <f t="shared" si="12"/>
        <v/>
      </c>
      <c r="Z47" s="303" t="str">
        <f>IF(J47="","",_xlfn.XLOOKUP(H47,'Emission Factors'!$M$432:$M$787,'Emission Factors'!$W$432:$W$787))</f>
        <v/>
      </c>
      <c r="AA47" s="67"/>
      <c r="AB47" s="151"/>
    </row>
    <row r="48" spans="2:28">
      <c r="B48" s="166"/>
      <c r="C48" s="173"/>
      <c r="D48" s="103"/>
      <c r="E48" s="104"/>
      <c r="F48" s="103"/>
      <c r="G48" s="103"/>
      <c r="H48" s="105" t="str">
        <f t="shared" si="6"/>
        <v/>
      </c>
      <c r="I48" s="106"/>
      <c r="J48" s="103"/>
      <c r="K48" s="97" t="str">
        <f t="shared" si="8"/>
        <v/>
      </c>
      <c r="L48" s="303" t="str" cm="1">
        <f t="array" ref="L48">IF(J48="","",_xlfn.XLOOKUP(H48&amp;J48,'Emission Factors'!$M$353:$M$382&amp;'Emission Factors'!$U$353:$U$382,'Emission Factors'!$U$353:$U$382))</f>
        <v/>
      </c>
      <c r="M48" s="305" t="str">
        <f>IFERROR(IF(J48="","",INDEX(Conversions!$C$4:$I$10,MATCH('V2 - District Heating'!$K48,Conversions!$B$4:$B$10,0),MATCH('V2 - District Heating'!$L48,Conversions!$C$3:$I$3,0))),1)</f>
        <v/>
      </c>
      <c r="N48" s="304" t="str" cm="1">
        <f t="array" ref="N48">IF(J48="","",_xlfn.XLOOKUP(H48&amp;J48,'Emission Factors'!$M$353:$M$382&amp;'Emission Factors'!$U$353:$U$382,'Emission Factors'!$T$353:$T$382)*M48)</f>
        <v/>
      </c>
      <c r="O48" s="305" t="str">
        <f t="shared" si="9"/>
        <v/>
      </c>
      <c r="P48" s="202" t="str">
        <f t="shared" si="7"/>
        <v/>
      </c>
      <c r="Q48" s="303" t="str">
        <f>IF(J48="","",_xlfn.XLOOKUP(H48,'Emission Factors'!$M:$M,'Emission Factors'!$W:$W))</f>
        <v/>
      </c>
      <c r="R48" s="104"/>
      <c r="S48" s="67"/>
      <c r="T48" s="303" t="str">
        <f t="shared" si="10"/>
        <v/>
      </c>
      <c r="U48" s="303" t="str" cm="1">
        <f t="array" ref="U48">IF(J48="","",_xlfn.XLOOKUP(G48&amp;K48,'Emission Factors'!$K$432:$K$787&amp;'Emission Factors'!$U$432:$U$787,'Emission Factors'!$U$432:$U$787))</f>
        <v/>
      </c>
      <c r="V48" s="332" t="str">
        <f>IFERROR(IF(J48="","",INDEX(Conversions!$C$4:$I$10,MATCH($T48,Conversions!$B$4:$B$10,0),MATCH($U48,Conversions!$C$3:$I$3,0))),1)</f>
        <v/>
      </c>
      <c r="W48" s="309" t="str">
        <f>IF(J48="","",_xlfn.XLOOKUP(H48,'Emission Factors'!$M$432:$M$787,'Emission Factors'!$S$432:$S$787)*V48)</f>
        <v/>
      </c>
      <c r="X48" s="305" t="str">
        <f t="shared" si="11"/>
        <v/>
      </c>
      <c r="Y48" s="129" t="str">
        <f t="shared" si="12"/>
        <v/>
      </c>
      <c r="Z48" s="303" t="str">
        <f>IF(J48="","",_xlfn.XLOOKUP(H48,'Emission Factors'!$M$432:$M$787,'Emission Factors'!$W$432:$W$787))</f>
        <v/>
      </c>
      <c r="AA48" s="67"/>
      <c r="AB48" s="151"/>
    </row>
    <row r="49" spans="2:28">
      <c r="B49" s="166"/>
      <c r="C49" s="173"/>
      <c r="D49" s="103"/>
      <c r="E49" s="104"/>
      <c r="F49" s="103"/>
      <c r="G49" s="103"/>
      <c r="H49" s="105" t="str">
        <f t="shared" si="6"/>
        <v/>
      </c>
      <c r="I49" s="106"/>
      <c r="J49" s="103"/>
      <c r="K49" s="97" t="str">
        <f t="shared" si="8"/>
        <v/>
      </c>
      <c r="L49" s="303" t="str" cm="1">
        <f t="array" ref="L49">IF(J49="","",_xlfn.XLOOKUP(H49&amp;J49,'Emission Factors'!$M$353:$M$382&amp;'Emission Factors'!$U$353:$U$382,'Emission Factors'!$U$353:$U$382))</f>
        <v/>
      </c>
      <c r="M49" s="305" t="str">
        <f>IFERROR(IF(J49="","",INDEX(Conversions!$C$4:$I$10,MATCH('V2 - District Heating'!$K49,Conversions!$B$4:$B$10,0),MATCH('V2 - District Heating'!$L49,Conversions!$C$3:$I$3,0))),1)</f>
        <v/>
      </c>
      <c r="N49" s="304" t="str" cm="1">
        <f t="array" ref="N49">IF(J49="","",_xlfn.XLOOKUP(H49&amp;J49,'Emission Factors'!$M$353:$M$382&amp;'Emission Factors'!$U$353:$U$382,'Emission Factors'!$T$353:$T$382)*M49)</f>
        <v/>
      </c>
      <c r="O49" s="305" t="str">
        <f t="shared" si="9"/>
        <v/>
      </c>
      <c r="P49" s="202" t="str">
        <f t="shared" si="7"/>
        <v/>
      </c>
      <c r="Q49" s="303" t="str">
        <f>IF(J49="","",_xlfn.XLOOKUP(H49,'Emission Factors'!$M:$M,'Emission Factors'!$W:$W))</f>
        <v/>
      </c>
      <c r="R49" s="104"/>
      <c r="S49" s="67"/>
      <c r="T49" s="303" t="str">
        <f t="shared" si="10"/>
        <v/>
      </c>
      <c r="U49" s="303" t="str" cm="1">
        <f t="array" ref="U49">IF(J49="","",_xlfn.XLOOKUP(G49&amp;K49,'Emission Factors'!$K$432:$K$787&amp;'Emission Factors'!$U$432:$U$787,'Emission Factors'!$U$432:$U$787))</f>
        <v/>
      </c>
      <c r="V49" s="332" t="str">
        <f>IFERROR(IF(J49="","",INDEX(Conversions!$C$4:$I$10,MATCH($T49,Conversions!$B$4:$B$10,0),MATCH($U49,Conversions!$C$3:$I$3,0))),1)</f>
        <v/>
      </c>
      <c r="W49" s="309" t="str">
        <f>IF(J49="","",_xlfn.XLOOKUP(H49,'Emission Factors'!$M$432:$M$787,'Emission Factors'!$S$432:$S$787)*V49)</f>
        <v/>
      </c>
      <c r="X49" s="305" t="str">
        <f t="shared" si="11"/>
        <v/>
      </c>
      <c r="Y49" s="129" t="str">
        <f t="shared" si="12"/>
        <v/>
      </c>
      <c r="Z49" s="303" t="str">
        <f>IF(J49="","",_xlfn.XLOOKUP(H49,'Emission Factors'!$M$432:$M$787,'Emission Factors'!$W$432:$W$787))</f>
        <v/>
      </c>
      <c r="AA49" s="67"/>
      <c r="AB49" s="151"/>
    </row>
    <row r="50" spans="2:28">
      <c r="B50" s="166"/>
      <c r="C50" s="173"/>
      <c r="D50" s="103"/>
      <c r="E50" s="104"/>
      <c r="F50" s="103"/>
      <c r="G50" s="103"/>
      <c r="H50" s="105" t="str">
        <f t="shared" si="6"/>
        <v/>
      </c>
      <c r="I50" s="106"/>
      <c r="J50" s="103"/>
      <c r="K50" s="97" t="str">
        <f t="shared" si="8"/>
        <v/>
      </c>
      <c r="L50" s="303" t="str" cm="1">
        <f t="array" ref="L50">IF(J50="","",_xlfn.XLOOKUP(H50&amp;J50,'Emission Factors'!$M$353:$M$382&amp;'Emission Factors'!$U$353:$U$382,'Emission Factors'!$U$353:$U$382))</f>
        <v/>
      </c>
      <c r="M50" s="305" t="str">
        <f>IFERROR(IF(J50="","",INDEX(Conversions!$C$4:$I$10,MATCH('V2 - District Heating'!$K50,Conversions!$B$4:$B$10,0),MATCH('V2 - District Heating'!$L50,Conversions!$C$3:$I$3,0))),1)</f>
        <v/>
      </c>
      <c r="N50" s="304" t="str" cm="1">
        <f t="array" ref="N50">IF(J50="","",_xlfn.XLOOKUP(H50&amp;J50,'Emission Factors'!$M$353:$M$382&amp;'Emission Factors'!$U$353:$U$382,'Emission Factors'!$T$353:$T$382)*M50)</f>
        <v/>
      </c>
      <c r="O50" s="305" t="str">
        <f t="shared" si="9"/>
        <v/>
      </c>
      <c r="P50" s="202" t="str">
        <f t="shared" si="7"/>
        <v/>
      </c>
      <c r="Q50" s="303" t="str">
        <f>IF(J50="","",_xlfn.XLOOKUP(H50,'Emission Factors'!$M:$M,'Emission Factors'!$W:$W))</f>
        <v/>
      </c>
      <c r="R50" s="104"/>
      <c r="S50" s="67"/>
      <c r="T50" s="303" t="str">
        <f t="shared" si="10"/>
        <v/>
      </c>
      <c r="U50" s="303" t="str" cm="1">
        <f t="array" ref="U50">IF(J50="","",_xlfn.XLOOKUP(G50&amp;K50,'Emission Factors'!$K$432:$K$787&amp;'Emission Factors'!$U$432:$U$787,'Emission Factors'!$U$432:$U$787))</f>
        <v/>
      </c>
      <c r="V50" s="332" t="str">
        <f>IFERROR(IF(J50="","",INDEX(Conversions!$C$4:$I$10,MATCH($T50,Conversions!$B$4:$B$10,0),MATCH($U50,Conversions!$C$3:$I$3,0))),1)</f>
        <v/>
      </c>
      <c r="W50" s="309" t="str">
        <f>IF(J50="","",_xlfn.XLOOKUP(H50,'Emission Factors'!$M$432:$M$787,'Emission Factors'!$S$432:$S$787)*V50)</f>
        <v/>
      </c>
      <c r="X50" s="305" t="str">
        <f t="shared" si="11"/>
        <v/>
      </c>
      <c r="Y50" s="129" t="str">
        <f t="shared" si="12"/>
        <v/>
      </c>
      <c r="Z50" s="303" t="str">
        <f>IF(J50="","",_xlfn.XLOOKUP(H50,'Emission Factors'!$M$432:$M$787,'Emission Factors'!$W$432:$W$787))</f>
        <v/>
      </c>
      <c r="AA50" s="67"/>
      <c r="AB50" s="151"/>
    </row>
    <row r="51" spans="2:28">
      <c r="B51" s="166"/>
      <c r="C51" s="173"/>
      <c r="D51" s="103"/>
      <c r="E51" s="104"/>
      <c r="F51" s="103"/>
      <c r="G51" s="103"/>
      <c r="H51" s="105" t="str">
        <f t="shared" si="6"/>
        <v/>
      </c>
      <c r="I51" s="106"/>
      <c r="J51" s="103"/>
      <c r="K51" s="97" t="str">
        <f t="shared" si="8"/>
        <v/>
      </c>
      <c r="L51" s="303" t="str" cm="1">
        <f t="array" ref="L51">IF(J51="","",_xlfn.XLOOKUP(H51&amp;J51,'Emission Factors'!$M$353:$M$382&amp;'Emission Factors'!$U$353:$U$382,'Emission Factors'!$U$353:$U$382))</f>
        <v/>
      </c>
      <c r="M51" s="305" t="str">
        <f>IFERROR(IF(J51="","",INDEX(Conversions!$C$4:$I$10,MATCH('V2 - District Heating'!$K51,Conversions!$B$4:$B$10,0),MATCH('V2 - District Heating'!$L51,Conversions!$C$3:$I$3,0))),1)</f>
        <v/>
      </c>
      <c r="N51" s="304" t="str" cm="1">
        <f t="array" ref="N51">IF(J51="","",_xlfn.XLOOKUP(H51&amp;J51,'Emission Factors'!$M$353:$M$382&amp;'Emission Factors'!$U$353:$U$382,'Emission Factors'!$T$353:$T$382)*M51)</f>
        <v/>
      </c>
      <c r="O51" s="305" t="str">
        <f t="shared" si="9"/>
        <v/>
      </c>
      <c r="P51" s="202" t="str">
        <f t="shared" si="7"/>
        <v/>
      </c>
      <c r="Q51" s="303" t="str">
        <f>IF(J51="","",_xlfn.XLOOKUP(H51,'Emission Factors'!$M:$M,'Emission Factors'!$W:$W))</f>
        <v/>
      </c>
      <c r="R51" s="104"/>
      <c r="S51" s="67"/>
      <c r="T51" s="303" t="str">
        <f t="shared" si="10"/>
        <v/>
      </c>
      <c r="U51" s="303" t="str" cm="1">
        <f t="array" ref="U51">IF(J51="","",_xlfn.XLOOKUP(G51&amp;K51,'Emission Factors'!$K$432:$K$787&amp;'Emission Factors'!$U$432:$U$787,'Emission Factors'!$U$432:$U$787))</f>
        <v/>
      </c>
      <c r="V51" s="332" t="str">
        <f>IFERROR(IF(J51="","",INDEX(Conversions!$C$4:$I$10,MATCH($T51,Conversions!$B$4:$B$10,0),MATCH($U51,Conversions!$C$3:$I$3,0))),1)</f>
        <v/>
      </c>
      <c r="W51" s="309" t="str">
        <f>IF(J51="","",_xlfn.XLOOKUP(H51,'Emission Factors'!$M$432:$M$787,'Emission Factors'!$S$432:$S$787)*V51)</f>
        <v/>
      </c>
      <c r="X51" s="305" t="str">
        <f t="shared" si="11"/>
        <v/>
      </c>
      <c r="Y51" s="129" t="str">
        <f t="shared" si="12"/>
        <v/>
      </c>
      <c r="Z51" s="303" t="str">
        <f>IF(J51="","",_xlfn.XLOOKUP(H51,'Emission Factors'!$M$432:$M$787,'Emission Factors'!$W$432:$W$787))</f>
        <v/>
      </c>
      <c r="AA51" s="67"/>
      <c r="AB51" s="151"/>
    </row>
    <row r="52" spans="2:28">
      <c r="B52" s="166"/>
      <c r="C52" s="173"/>
      <c r="D52" s="103"/>
      <c r="E52" s="104"/>
      <c r="F52" s="103"/>
      <c r="G52" s="103"/>
      <c r="H52" s="105" t="str">
        <f t="shared" si="6"/>
        <v/>
      </c>
      <c r="I52" s="106"/>
      <c r="J52" s="103"/>
      <c r="K52" s="97" t="str">
        <f t="shared" si="8"/>
        <v/>
      </c>
      <c r="L52" s="303" t="str" cm="1">
        <f t="array" ref="L52">IF(J52="","",_xlfn.XLOOKUP(H52&amp;J52,'Emission Factors'!$M$353:$M$382&amp;'Emission Factors'!$U$353:$U$382,'Emission Factors'!$U$353:$U$382))</f>
        <v/>
      </c>
      <c r="M52" s="305" t="str">
        <f>IFERROR(IF(J52="","",INDEX(Conversions!$C$4:$I$10,MATCH('V2 - District Heating'!$K52,Conversions!$B$4:$B$10,0),MATCH('V2 - District Heating'!$L52,Conversions!$C$3:$I$3,0))),1)</f>
        <v/>
      </c>
      <c r="N52" s="304" t="str" cm="1">
        <f t="array" ref="N52">IF(J52="","",_xlfn.XLOOKUP(H52&amp;J52,'Emission Factors'!$M$353:$M$382&amp;'Emission Factors'!$U$353:$U$382,'Emission Factors'!$T$353:$T$382)*M52)</f>
        <v/>
      </c>
      <c r="O52" s="305" t="str">
        <f t="shared" si="9"/>
        <v/>
      </c>
      <c r="P52" s="202" t="str">
        <f t="shared" si="7"/>
        <v/>
      </c>
      <c r="Q52" s="303" t="str">
        <f>IF(J52="","",_xlfn.XLOOKUP(H52,'Emission Factors'!$M:$M,'Emission Factors'!$W:$W))</f>
        <v/>
      </c>
      <c r="R52" s="104"/>
      <c r="S52" s="67"/>
      <c r="T52" s="303" t="str">
        <f t="shared" si="10"/>
        <v/>
      </c>
      <c r="U52" s="303" t="str" cm="1">
        <f t="array" ref="U52">IF(J52="","",_xlfn.XLOOKUP(G52&amp;K52,'Emission Factors'!$K$432:$K$787&amp;'Emission Factors'!$U$432:$U$787,'Emission Factors'!$U$432:$U$787))</f>
        <v/>
      </c>
      <c r="V52" s="332" t="str">
        <f>IFERROR(IF(J52="","",INDEX(Conversions!$C$4:$I$10,MATCH($T52,Conversions!$B$4:$B$10,0),MATCH($U52,Conversions!$C$3:$I$3,0))),1)</f>
        <v/>
      </c>
      <c r="W52" s="309" t="str">
        <f>IF(J52="","",_xlfn.XLOOKUP(H52,'Emission Factors'!$M$432:$M$787,'Emission Factors'!$S$432:$S$787)*V52)</f>
        <v/>
      </c>
      <c r="X52" s="305" t="str">
        <f t="shared" si="11"/>
        <v/>
      </c>
      <c r="Y52" s="129" t="str">
        <f t="shared" si="12"/>
        <v/>
      </c>
      <c r="Z52" s="303" t="str">
        <f>IF(J52="","",_xlfn.XLOOKUP(H52,'Emission Factors'!$M$432:$M$787,'Emission Factors'!$W$432:$W$787))</f>
        <v/>
      </c>
      <c r="AA52" s="67"/>
      <c r="AB52" s="151"/>
    </row>
    <row r="53" spans="2:28">
      <c r="B53" s="166"/>
      <c r="C53" s="173"/>
      <c r="D53" s="103"/>
      <c r="E53" s="104"/>
      <c r="F53" s="103"/>
      <c r="G53" s="103"/>
      <c r="H53" s="105" t="str">
        <f t="shared" si="6"/>
        <v/>
      </c>
      <c r="I53" s="106"/>
      <c r="J53" s="103"/>
      <c r="K53" s="97" t="str">
        <f t="shared" si="8"/>
        <v/>
      </c>
      <c r="L53" s="303" t="str" cm="1">
        <f t="array" ref="L53">IF(J53="","",_xlfn.XLOOKUP(H53&amp;J53,'Emission Factors'!$M$353:$M$382&amp;'Emission Factors'!$U$353:$U$382,'Emission Factors'!$U$353:$U$382))</f>
        <v/>
      </c>
      <c r="M53" s="305" t="str">
        <f>IFERROR(IF(J53="","",INDEX(Conversions!$C$4:$I$10,MATCH('V2 - District Heating'!$K53,Conversions!$B$4:$B$10,0),MATCH('V2 - District Heating'!$L53,Conversions!$C$3:$I$3,0))),1)</f>
        <v/>
      </c>
      <c r="N53" s="304" t="str" cm="1">
        <f t="array" ref="N53">IF(J53="","",_xlfn.XLOOKUP(H53&amp;J53,'Emission Factors'!$M$353:$M$382&amp;'Emission Factors'!$U$353:$U$382,'Emission Factors'!$T$353:$T$382)*M53)</f>
        <v/>
      </c>
      <c r="O53" s="305" t="str">
        <f t="shared" si="9"/>
        <v/>
      </c>
      <c r="P53" s="202" t="str">
        <f t="shared" si="7"/>
        <v/>
      </c>
      <c r="Q53" s="303" t="str">
        <f>IF(J53="","",_xlfn.XLOOKUP(H53,'Emission Factors'!$M:$M,'Emission Factors'!$W:$W))</f>
        <v/>
      </c>
      <c r="R53" s="104"/>
      <c r="S53" s="67"/>
      <c r="T53" s="303" t="str">
        <f t="shared" si="10"/>
        <v/>
      </c>
      <c r="U53" s="303" t="str" cm="1">
        <f t="array" ref="U53">IF(J53="","",_xlfn.XLOOKUP(G53&amp;K53,'Emission Factors'!$K$432:$K$787&amp;'Emission Factors'!$U$432:$U$787,'Emission Factors'!$U$432:$U$787))</f>
        <v/>
      </c>
      <c r="V53" s="332" t="str">
        <f>IFERROR(IF(J53="","",INDEX(Conversions!$C$4:$I$10,MATCH($T53,Conversions!$B$4:$B$10,0),MATCH($U53,Conversions!$C$3:$I$3,0))),1)</f>
        <v/>
      </c>
      <c r="W53" s="309" t="str">
        <f>IF(J53="","",_xlfn.XLOOKUP(H53,'Emission Factors'!$M$432:$M$787,'Emission Factors'!$S$432:$S$787)*V53)</f>
        <v/>
      </c>
      <c r="X53" s="305" t="str">
        <f t="shared" si="11"/>
        <v/>
      </c>
      <c r="Y53" s="129" t="str">
        <f t="shared" si="12"/>
        <v/>
      </c>
      <c r="Z53" s="303" t="str">
        <f>IF(J53="","",_xlfn.XLOOKUP(H53,'Emission Factors'!$M$432:$M$787,'Emission Factors'!$W$432:$W$787))</f>
        <v/>
      </c>
      <c r="AA53" s="67"/>
      <c r="AB53" s="151"/>
    </row>
    <row r="54" spans="2:28">
      <c r="B54" s="166"/>
      <c r="C54" s="173"/>
      <c r="D54" s="103"/>
      <c r="E54" s="104"/>
      <c r="F54" s="103"/>
      <c r="G54" s="103"/>
      <c r="H54" s="105" t="str">
        <f t="shared" si="6"/>
        <v/>
      </c>
      <c r="I54" s="106"/>
      <c r="J54" s="103"/>
      <c r="K54" s="97" t="str">
        <f t="shared" si="8"/>
        <v/>
      </c>
      <c r="L54" s="303" t="str" cm="1">
        <f t="array" ref="L54">IF(J54="","",_xlfn.XLOOKUP(H54&amp;J54,'Emission Factors'!$M$353:$M$382&amp;'Emission Factors'!$U$353:$U$382,'Emission Factors'!$U$353:$U$382))</f>
        <v/>
      </c>
      <c r="M54" s="305" t="str">
        <f>IFERROR(IF(J54="","",INDEX(Conversions!$C$4:$I$10,MATCH('V2 - District Heating'!$K54,Conversions!$B$4:$B$10,0),MATCH('V2 - District Heating'!$L54,Conversions!$C$3:$I$3,0))),1)</f>
        <v/>
      </c>
      <c r="N54" s="304" t="str" cm="1">
        <f t="array" ref="N54">IF(J54="","",_xlfn.XLOOKUP(H54&amp;J54,'Emission Factors'!$M$353:$M$382&amp;'Emission Factors'!$U$353:$U$382,'Emission Factors'!$T$353:$T$382)*M54)</f>
        <v/>
      </c>
      <c r="O54" s="305" t="str">
        <f t="shared" si="9"/>
        <v/>
      </c>
      <c r="P54" s="202" t="str">
        <f t="shared" si="7"/>
        <v/>
      </c>
      <c r="Q54" s="303" t="str">
        <f>IF(J54="","",_xlfn.XLOOKUP(H54,'Emission Factors'!$M:$M,'Emission Factors'!$W:$W))</f>
        <v/>
      </c>
      <c r="R54" s="104"/>
      <c r="S54" s="67"/>
      <c r="T54" s="303" t="str">
        <f t="shared" si="10"/>
        <v/>
      </c>
      <c r="U54" s="303" t="str" cm="1">
        <f t="array" ref="U54">IF(J54="","",_xlfn.XLOOKUP(G54&amp;K54,'Emission Factors'!$K$432:$K$787&amp;'Emission Factors'!$U$432:$U$787,'Emission Factors'!$U$432:$U$787))</f>
        <v/>
      </c>
      <c r="V54" s="332" t="str">
        <f>IFERROR(IF(J54="","",INDEX(Conversions!$C$4:$I$10,MATCH($T54,Conversions!$B$4:$B$10,0),MATCH($U54,Conversions!$C$3:$I$3,0))),1)</f>
        <v/>
      </c>
      <c r="W54" s="309" t="str">
        <f>IF(J54="","",_xlfn.XLOOKUP(H54,'Emission Factors'!$M$432:$M$787,'Emission Factors'!$S$432:$S$787)*V54)</f>
        <v/>
      </c>
      <c r="X54" s="305" t="str">
        <f t="shared" si="11"/>
        <v/>
      </c>
      <c r="Y54" s="129" t="str">
        <f t="shared" si="12"/>
        <v/>
      </c>
      <c r="Z54" s="303" t="str">
        <f>IF(J54="","",_xlfn.XLOOKUP(H54,'Emission Factors'!$M$432:$M$787,'Emission Factors'!$W$432:$W$787))</f>
        <v/>
      </c>
      <c r="AA54" s="67"/>
      <c r="AB54" s="151"/>
    </row>
    <row r="55" spans="2:28">
      <c r="B55" s="166"/>
      <c r="C55" s="173"/>
      <c r="D55" s="103"/>
      <c r="E55" s="104"/>
      <c r="F55" s="103"/>
      <c r="G55" s="103"/>
      <c r="H55" s="105" t="str">
        <f t="shared" si="6"/>
        <v/>
      </c>
      <c r="I55" s="106"/>
      <c r="J55" s="103"/>
      <c r="K55" s="97" t="str">
        <f t="shared" si="8"/>
        <v/>
      </c>
      <c r="L55" s="303" t="str" cm="1">
        <f t="array" ref="L55">IF(J55="","",_xlfn.XLOOKUP(H55&amp;J55,'Emission Factors'!$M$353:$M$382&amp;'Emission Factors'!$U$353:$U$382,'Emission Factors'!$U$353:$U$382))</f>
        <v/>
      </c>
      <c r="M55" s="305" t="str">
        <f>IFERROR(IF(J55="","",INDEX(Conversions!$C$4:$I$10,MATCH('V2 - District Heating'!$K55,Conversions!$B$4:$B$10,0),MATCH('V2 - District Heating'!$L55,Conversions!$C$3:$I$3,0))),1)</f>
        <v/>
      </c>
      <c r="N55" s="304" t="str" cm="1">
        <f t="array" ref="N55">IF(J55="","",_xlfn.XLOOKUP(H55&amp;J55,'Emission Factors'!$M$353:$M$382&amp;'Emission Factors'!$U$353:$U$382,'Emission Factors'!$T$353:$T$382)*M55)</f>
        <v/>
      </c>
      <c r="O55" s="305" t="str">
        <f t="shared" si="9"/>
        <v/>
      </c>
      <c r="P55" s="202" t="str">
        <f t="shared" si="7"/>
        <v/>
      </c>
      <c r="Q55" s="303" t="str">
        <f>IF(J55="","",_xlfn.XLOOKUP(H55,'Emission Factors'!$M:$M,'Emission Factors'!$W:$W))</f>
        <v/>
      </c>
      <c r="R55" s="104"/>
      <c r="S55" s="67"/>
      <c r="T55" s="303" t="str">
        <f t="shared" si="10"/>
        <v/>
      </c>
      <c r="U55" s="303" t="str" cm="1">
        <f t="array" ref="U55">IF(J55="","",_xlfn.XLOOKUP(G55&amp;K55,'Emission Factors'!$K$432:$K$787&amp;'Emission Factors'!$U$432:$U$787,'Emission Factors'!$U$432:$U$787))</f>
        <v/>
      </c>
      <c r="V55" s="332" t="str">
        <f>IFERROR(IF(J55="","",INDEX(Conversions!$C$4:$I$10,MATCH($T55,Conversions!$B$4:$B$10,0),MATCH($U55,Conversions!$C$3:$I$3,0))),1)</f>
        <v/>
      </c>
      <c r="W55" s="309" t="str">
        <f>IF(J55="","",_xlfn.XLOOKUP(H55,'Emission Factors'!$M$432:$M$787,'Emission Factors'!$S$432:$S$787)*V55)</f>
        <v/>
      </c>
      <c r="X55" s="305" t="str">
        <f t="shared" si="11"/>
        <v/>
      </c>
      <c r="Y55" s="129" t="str">
        <f t="shared" si="12"/>
        <v/>
      </c>
      <c r="Z55" s="303" t="str">
        <f>IF(J55="","",_xlfn.XLOOKUP(H55,'Emission Factors'!$M$432:$M$787,'Emission Factors'!$W$432:$W$787))</f>
        <v/>
      </c>
      <c r="AA55" s="67"/>
      <c r="AB55" s="151"/>
    </row>
    <row r="56" spans="2:28">
      <c r="B56" s="166"/>
      <c r="C56" s="173"/>
      <c r="D56" s="103"/>
      <c r="E56" s="104"/>
      <c r="F56" s="103"/>
      <c r="G56" s="103"/>
      <c r="H56" s="105" t="str">
        <f t="shared" si="6"/>
        <v/>
      </c>
      <c r="I56" s="106"/>
      <c r="J56" s="103"/>
      <c r="K56" s="97" t="str">
        <f t="shared" si="8"/>
        <v/>
      </c>
      <c r="L56" s="303" t="str" cm="1">
        <f t="array" ref="L56">IF(J56="","",_xlfn.XLOOKUP(H56&amp;J56,'Emission Factors'!$M$353:$M$382&amp;'Emission Factors'!$U$353:$U$382,'Emission Factors'!$U$353:$U$382))</f>
        <v/>
      </c>
      <c r="M56" s="305" t="str">
        <f>IFERROR(IF(J56="","",INDEX(Conversions!$C$4:$I$10,MATCH('V2 - District Heating'!$K56,Conversions!$B$4:$B$10,0),MATCH('V2 - District Heating'!$L56,Conversions!$C$3:$I$3,0))),1)</f>
        <v/>
      </c>
      <c r="N56" s="304" t="str" cm="1">
        <f t="array" ref="N56">IF(J56="","",_xlfn.XLOOKUP(H56&amp;J56,'Emission Factors'!$M$353:$M$382&amp;'Emission Factors'!$U$353:$U$382,'Emission Factors'!$T$353:$T$382)*M56)</f>
        <v/>
      </c>
      <c r="O56" s="305" t="str">
        <f t="shared" si="9"/>
        <v/>
      </c>
      <c r="P56" s="202" t="str">
        <f t="shared" si="7"/>
        <v/>
      </c>
      <c r="Q56" s="303" t="str">
        <f>IF(J56="","",_xlfn.XLOOKUP(H56,'Emission Factors'!$M:$M,'Emission Factors'!$W:$W))</f>
        <v/>
      </c>
      <c r="R56" s="104"/>
      <c r="S56" s="67"/>
      <c r="T56" s="303" t="str">
        <f t="shared" si="10"/>
        <v/>
      </c>
      <c r="U56" s="303" t="str" cm="1">
        <f t="array" ref="U56">IF(J56="","",_xlfn.XLOOKUP(G56&amp;K56,'Emission Factors'!$K$432:$K$787&amp;'Emission Factors'!$U$432:$U$787,'Emission Factors'!$U$432:$U$787))</f>
        <v/>
      </c>
      <c r="V56" s="332" t="str">
        <f>IFERROR(IF(J56="","",INDEX(Conversions!$C$4:$I$10,MATCH($T56,Conversions!$B$4:$B$10,0),MATCH($U56,Conversions!$C$3:$I$3,0))),1)</f>
        <v/>
      </c>
      <c r="W56" s="309" t="str">
        <f>IF(J56="","",_xlfn.XLOOKUP(H56,'Emission Factors'!$M$432:$M$787,'Emission Factors'!$S$432:$S$787)*V56)</f>
        <v/>
      </c>
      <c r="X56" s="305" t="str">
        <f t="shared" si="11"/>
        <v/>
      </c>
      <c r="Y56" s="129" t="str">
        <f t="shared" si="12"/>
        <v/>
      </c>
      <c r="Z56" s="303" t="str">
        <f>IF(J56="","",_xlfn.XLOOKUP(H56,'Emission Factors'!$M$432:$M$787,'Emission Factors'!$W$432:$W$787))</f>
        <v/>
      </c>
      <c r="AA56" s="67"/>
      <c r="AB56" s="151"/>
    </row>
    <row r="57" spans="2:28">
      <c r="B57" s="166"/>
      <c r="C57" s="173"/>
      <c r="D57" s="103"/>
      <c r="E57" s="104"/>
      <c r="F57" s="103"/>
      <c r="G57" s="103"/>
      <c r="H57" s="105" t="str">
        <f t="shared" si="6"/>
        <v/>
      </c>
      <c r="I57" s="106"/>
      <c r="J57" s="103"/>
      <c r="K57" s="97" t="str">
        <f t="shared" si="8"/>
        <v/>
      </c>
      <c r="L57" s="303" t="str" cm="1">
        <f t="array" ref="L57">IF(J57="","",_xlfn.XLOOKUP(H57&amp;J57,'Emission Factors'!$M$353:$M$382&amp;'Emission Factors'!$U$353:$U$382,'Emission Factors'!$U$353:$U$382))</f>
        <v/>
      </c>
      <c r="M57" s="305" t="str">
        <f>IFERROR(IF(J57="","",INDEX(Conversions!$C$4:$I$10,MATCH('V2 - District Heating'!$K57,Conversions!$B$4:$B$10,0),MATCH('V2 - District Heating'!$L57,Conversions!$C$3:$I$3,0))),1)</f>
        <v/>
      </c>
      <c r="N57" s="304" t="str" cm="1">
        <f t="array" ref="N57">IF(J57="","",_xlfn.XLOOKUP(H57&amp;J57,'Emission Factors'!$M$353:$M$382&amp;'Emission Factors'!$U$353:$U$382,'Emission Factors'!$T$353:$T$382)*M57)</f>
        <v/>
      </c>
      <c r="O57" s="305" t="str">
        <f t="shared" si="9"/>
        <v/>
      </c>
      <c r="P57" s="202" t="str">
        <f t="shared" si="7"/>
        <v/>
      </c>
      <c r="Q57" s="303" t="str">
        <f>IF(J57="","",_xlfn.XLOOKUP(H57,'Emission Factors'!$M:$M,'Emission Factors'!$W:$W))</f>
        <v/>
      </c>
      <c r="R57" s="104"/>
      <c r="S57" s="67"/>
      <c r="T57" s="303" t="str">
        <f t="shared" si="10"/>
        <v/>
      </c>
      <c r="U57" s="303" t="str" cm="1">
        <f t="array" ref="U57">IF(J57="","",_xlfn.XLOOKUP(G57&amp;K57,'Emission Factors'!$K$432:$K$787&amp;'Emission Factors'!$U$432:$U$787,'Emission Factors'!$U$432:$U$787))</f>
        <v/>
      </c>
      <c r="V57" s="332" t="str">
        <f>IFERROR(IF(J57="","",INDEX(Conversions!$C$4:$I$10,MATCH($T57,Conversions!$B$4:$B$10,0),MATCH($U57,Conversions!$C$3:$I$3,0))),1)</f>
        <v/>
      </c>
      <c r="W57" s="309" t="str">
        <f>IF(J57="","",_xlfn.XLOOKUP(H57,'Emission Factors'!$M$432:$M$787,'Emission Factors'!$S$432:$S$787)*V57)</f>
        <v/>
      </c>
      <c r="X57" s="305" t="str">
        <f t="shared" si="11"/>
        <v/>
      </c>
      <c r="Y57" s="129" t="str">
        <f t="shared" si="12"/>
        <v/>
      </c>
      <c r="Z57" s="303" t="str">
        <f>IF(J57="","",_xlfn.XLOOKUP(H57,'Emission Factors'!$M$432:$M$787,'Emission Factors'!$W$432:$W$787))</f>
        <v/>
      </c>
      <c r="AA57" s="67"/>
      <c r="AB57" s="151"/>
    </row>
    <row r="58" spans="2:28">
      <c r="B58" s="166"/>
      <c r="C58" s="173"/>
      <c r="D58" s="103"/>
      <c r="E58" s="104"/>
      <c r="F58" s="103"/>
      <c r="G58" s="103"/>
      <c r="H58" s="105" t="str">
        <f t="shared" si="6"/>
        <v/>
      </c>
      <c r="I58" s="106"/>
      <c r="J58" s="103"/>
      <c r="K58" s="97" t="str">
        <f t="shared" si="8"/>
        <v/>
      </c>
      <c r="L58" s="303" t="str" cm="1">
        <f t="array" ref="L58">IF(J58="","",_xlfn.XLOOKUP(H58&amp;J58,'Emission Factors'!$M$353:$M$382&amp;'Emission Factors'!$U$353:$U$382,'Emission Factors'!$U$353:$U$382))</f>
        <v/>
      </c>
      <c r="M58" s="305" t="str">
        <f>IFERROR(IF(J58="","",INDEX(Conversions!$C$4:$I$10,MATCH('V2 - District Heating'!$K58,Conversions!$B$4:$B$10,0),MATCH('V2 - District Heating'!$L58,Conversions!$C$3:$I$3,0))),1)</f>
        <v/>
      </c>
      <c r="N58" s="304" t="str" cm="1">
        <f t="array" ref="N58">IF(J58="","",_xlfn.XLOOKUP(H58&amp;J58,'Emission Factors'!$M$353:$M$382&amp;'Emission Factors'!$U$353:$U$382,'Emission Factors'!$T$353:$T$382)*M58)</f>
        <v/>
      </c>
      <c r="O58" s="305" t="str">
        <f t="shared" si="9"/>
        <v/>
      </c>
      <c r="P58" s="202" t="str">
        <f t="shared" si="7"/>
        <v/>
      </c>
      <c r="Q58" s="303" t="str">
        <f>IF(J58="","",_xlfn.XLOOKUP(H58,'Emission Factors'!$M:$M,'Emission Factors'!$W:$W))</f>
        <v/>
      </c>
      <c r="R58" s="104"/>
      <c r="S58" s="67"/>
      <c r="T58" s="303" t="str">
        <f t="shared" si="10"/>
        <v/>
      </c>
      <c r="U58" s="303" t="str" cm="1">
        <f t="array" ref="U58">IF(J58="","",_xlfn.XLOOKUP(G58&amp;K58,'Emission Factors'!$K$432:$K$787&amp;'Emission Factors'!$U$432:$U$787,'Emission Factors'!$U$432:$U$787))</f>
        <v/>
      </c>
      <c r="V58" s="332" t="str">
        <f>IFERROR(IF(J58="","",INDEX(Conversions!$C$4:$I$10,MATCH($T58,Conversions!$B$4:$B$10,0),MATCH($U58,Conversions!$C$3:$I$3,0))),1)</f>
        <v/>
      </c>
      <c r="W58" s="309" t="str">
        <f>IF(J58="","",_xlfn.XLOOKUP(H58,'Emission Factors'!$M$432:$M$787,'Emission Factors'!$S$432:$S$787)*V58)</f>
        <v/>
      </c>
      <c r="X58" s="305" t="str">
        <f t="shared" si="11"/>
        <v/>
      </c>
      <c r="Y58" s="129" t="str">
        <f t="shared" si="12"/>
        <v/>
      </c>
      <c r="Z58" s="303" t="str">
        <f>IF(J58="","",_xlfn.XLOOKUP(H58,'Emission Factors'!$M$432:$M$787,'Emission Factors'!$W$432:$W$787))</f>
        <v/>
      </c>
      <c r="AA58" s="67"/>
      <c r="AB58" s="151"/>
    </row>
    <row r="59" spans="2:28">
      <c r="B59" s="166"/>
      <c r="C59" s="173"/>
      <c r="D59" s="103"/>
      <c r="E59" s="104"/>
      <c r="F59" s="103"/>
      <c r="G59" s="103"/>
      <c r="H59" s="105" t="str">
        <f t="shared" si="6"/>
        <v/>
      </c>
      <c r="I59" s="106"/>
      <c r="J59" s="103"/>
      <c r="K59" s="97" t="str">
        <f t="shared" si="8"/>
        <v/>
      </c>
      <c r="L59" s="303" t="str" cm="1">
        <f t="array" ref="L59">IF(J59="","",_xlfn.XLOOKUP(H59&amp;J59,'Emission Factors'!$M$353:$M$382&amp;'Emission Factors'!$U$353:$U$382,'Emission Factors'!$U$353:$U$382))</f>
        <v/>
      </c>
      <c r="M59" s="305" t="str">
        <f>IFERROR(IF(J59="","",INDEX(Conversions!$C$4:$I$10,MATCH('V2 - District Heating'!$K59,Conversions!$B$4:$B$10,0),MATCH('V2 - District Heating'!$L59,Conversions!$C$3:$I$3,0))),1)</f>
        <v/>
      </c>
      <c r="N59" s="304" t="str" cm="1">
        <f t="array" ref="N59">IF(J59="","",_xlfn.XLOOKUP(H59&amp;J59,'Emission Factors'!$M$353:$M$382&amp;'Emission Factors'!$U$353:$U$382,'Emission Factors'!$T$353:$T$382)*M59)</f>
        <v/>
      </c>
      <c r="O59" s="305" t="str">
        <f t="shared" si="9"/>
        <v/>
      </c>
      <c r="P59" s="202" t="str">
        <f t="shared" si="7"/>
        <v/>
      </c>
      <c r="Q59" s="303" t="str">
        <f>IF(J59="","",_xlfn.XLOOKUP(H59,'Emission Factors'!$M:$M,'Emission Factors'!$W:$W))</f>
        <v/>
      </c>
      <c r="R59" s="104"/>
      <c r="S59" s="67"/>
      <c r="T59" s="303" t="str">
        <f t="shared" si="10"/>
        <v/>
      </c>
      <c r="U59" s="303" t="str" cm="1">
        <f t="array" ref="U59">IF(J59="","",_xlfn.XLOOKUP(G59&amp;K59,'Emission Factors'!$K$432:$K$787&amp;'Emission Factors'!$U$432:$U$787,'Emission Factors'!$U$432:$U$787))</f>
        <v/>
      </c>
      <c r="V59" s="332" t="str">
        <f>IFERROR(IF(J59="","",INDEX(Conversions!$C$4:$I$10,MATCH($T59,Conversions!$B$4:$B$10,0),MATCH($U59,Conversions!$C$3:$I$3,0))),1)</f>
        <v/>
      </c>
      <c r="W59" s="309" t="str">
        <f>IF(J59="","",_xlfn.XLOOKUP(H59,'Emission Factors'!$M$432:$M$787,'Emission Factors'!$S$432:$S$787)*V59)</f>
        <v/>
      </c>
      <c r="X59" s="305" t="str">
        <f t="shared" si="11"/>
        <v/>
      </c>
      <c r="Y59" s="129" t="str">
        <f t="shared" si="12"/>
        <v/>
      </c>
      <c r="Z59" s="303" t="str">
        <f>IF(J59="","",_xlfn.XLOOKUP(H59,'Emission Factors'!$M$432:$M$787,'Emission Factors'!$W$432:$W$787))</f>
        <v/>
      </c>
      <c r="AA59" s="67"/>
      <c r="AB59" s="151"/>
    </row>
    <row r="60" spans="2:28">
      <c r="B60" s="166"/>
      <c r="C60" s="173"/>
      <c r="D60" s="103"/>
      <c r="E60" s="104"/>
      <c r="F60" s="103"/>
      <c r="G60" s="103"/>
      <c r="H60" s="105" t="str">
        <f t="shared" si="6"/>
        <v/>
      </c>
      <c r="I60" s="106"/>
      <c r="J60" s="103"/>
      <c r="K60" s="97" t="str">
        <f t="shared" si="8"/>
        <v/>
      </c>
      <c r="L60" s="303" t="str" cm="1">
        <f t="array" ref="L60">IF(J60="","",_xlfn.XLOOKUP(H60&amp;J60,'Emission Factors'!$M$353:$M$382&amp;'Emission Factors'!$U$353:$U$382,'Emission Factors'!$U$353:$U$382))</f>
        <v/>
      </c>
      <c r="M60" s="305" t="str">
        <f>IFERROR(IF(J60="","",INDEX(Conversions!$C$4:$I$10,MATCH('V2 - District Heating'!$K60,Conversions!$B$4:$B$10,0),MATCH('V2 - District Heating'!$L60,Conversions!$C$3:$I$3,0))),1)</f>
        <v/>
      </c>
      <c r="N60" s="304" t="str" cm="1">
        <f t="array" ref="N60">IF(J60="","",_xlfn.XLOOKUP(H60&amp;J60,'Emission Factors'!$M$353:$M$382&amp;'Emission Factors'!$U$353:$U$382,'Emission Factors'!$T$353:$T$382)*M60)</f>
        <v/>
      </c>
      <c r="O60" s="305" t="str">
        <f t="shared" si="9"/>
        <v/>
      </c>
      <c r="P60" s="202" t="str">
        <f t="shared" si="7"/>
        <v/>
      </c>
      <c r="Q60" s="303" t="str">
        <f>IF(J60="","",_xlfn.XLOOKUP(H60,'Emission Factors'!$M:$M,'Emission Factors'!$W:$W))</f>
        <v/>
      </c>
      <c r="R60" s="104"/>
      <c r="S60" s="67"/>
      <c r="T60" s="303" t="str">
        <f t="shared" si="10"/>
        <v/>
      </c>
      <c r="U60" s="303" t="str" cm="1">
        <f t="array" ref="U60">IF(J60="","",_xlfn.XLOOKUP(G60&amp;K60,'Emission Factors'!$K$432:$K$787&amp;'Emission Factors'!$U$432:$U$787,'Emission Factors'!$U$432:$U$787))</f>
        <v/>
      </c>
      <c r="V60" s="332" t="str">
        <f>IFERROR(IF(J60="","",INDEX(Conversions!$C$4:$I$10,MATCH($T60,Conversions!$B$4:$B$10,0),MATCH($U60,Conversions!$C$3:$I$3,0))),1)</f>
        <v/>
      </c>
      <c r="W60" s="309" t="str">
        <f>IF(J60="","",_xlfn.XLOOKUP(H60,'Emission Factors'!$M$432:$M$787,'Emission Factors'!$S$432:$S$787)*V60)</f>
        <v/>
      </c>
      <c r="X60" s="305" t="str">
        <f t="shared" si="11"/>
        <v/>
      </c>
      <c r="Y60" s="129" t="str">
        <f t="shared" si="12"/>
        <v/>
      </c>
      <c r="Z60" s="303" t="str">
        <f>IF(J60="","",_xlfn.XLOOKUP(H60,'Emission Factors'!$M$432:$M$787,'Emission Factors'!$W$432:$W$787))</f>
        <v/>
      </c>
      <c r="AA60" s="67"/>
      <c r="AB60" s="151"/>
    </row>
    <row r="61" spans="2:28">
      <c r="B61" s="166"/>
      <c r="C61" s="173"/>
      <c r="D61" s="67"/>
      <c r="E61" s="67"/>
      <c r="F61" s="67"/>
      <c r="G61" s="67"/>
      <c r="H61" s="67"/>
      <c r="I61" s="67"/>
      <c r="J61" s="67"/>
      <c r="K61" s="67"/>
      <c r="L61" s="67"/>
      <c r="M61" s="67"/>
      <c r="N61" s="67"/>
      <c r="O61" s="67"/>
      <c r="P61" s="67"/>
      <c r="Q61" s="67"/>
      <c r="R61" s="67"/>
      <c r="S61" s="67"/>
      <c r="T61" s="67"/>
      <c r="U61" s="67"/>
      <c r="V61" s="67"/>
      <c r="W61" s="67"/>
      <c r="X61" s="67"/>
      <c r="Y61" s="67"/>
      <c r="Z61" s="67"/>
      <c r="AA61" s="67"/>
      <c r="AB61" s="151"/>
    </row>
    <row r="62" spans="2:28" ht="15.75">
      <c r="B62" s="166"/>
      <c r="C62" s="173"/>
      <c r="D62" s="116" t="str">
        <f>'V3 - Business Travel'!D63</f>
        <v>Samanlagt</v>
      </c>
      <c r="E62" s="82"/>
      <c r="F62" s="82"/>
      <c r="G62" s="82"/>
      <c r="H62" s="82"/>
      <c r="I62" s="82"/>
      <c r="J62" s="82"/>
      <c r="K62" s="82"/>
      <c r="L62" s="82"/>
      <c r="M62" s="82"/>
      <c r="N62" s="82"/>
      <c r="O62" s="82"/>
      <c r="P62" s="140">
        <f>SUM($P$31:$P$60)</f>
        <v>0</v>
      </c>
      <c r="Q62" s="82"/>
      <c r="R62" s="82"/>
      <c r="S62" s="67"/>
      <c r="T62" s="82"/>
      <c r="U62" s="82"/>
      <c r="V62" s="82"/>
      <c r="W62" s="82"/>
      <c r="X62" s="82"/>
      <c r="Y62" s="120">
        <f>SUM($Y$31:$Y$60)</f>
        <v>0</v>
      </c>
      <c r="Z62" s="82"/>
      <c r="AA62" s="67"/>
      <c r="AB62" s="151"/>
    </row>
    <row r="63" spans="2:28">
      <c r="B63" s="166"/>
      <c r="C63" s="173"/>
      <c r="D63" s="67"/>
      <c r="E63" s="67"/>
      <c r="F63" s="67"/>
      <c r="G63" s="67"/>
      <c r="H63" s="67"/>
      <c r="I63" s="67"/>
      <c r="J63" s="67"/>
      <c r="K63" s="67"/>
      <c r="L63" s="67"/>
      <c r="M63" s="67"/>
      <c r="N63" s="67"/>
      <c r="O63" s="67"/>
      <c r="P63" s="67"/>
      <c r="Q63" s="67"/>
      <c r="R63" s="67"/>
      <c r="S63" s="67"/>
      <c r="T63" s="67"/>
      <c r="U63" s="67"/>
      <c r="V63" s="67"/>
      <c r="W63" s="67"/>
      <c r="X63" s="67"/>
      <c r="Y63" s="67"/>
      <c r="Z63" s="67"/>
      <c r="AA63" s="67"/>
      <c r="AB63" s="151"/>
    </row>
    <row r="64" spans="2:28" ht="17.25" hidden="1" customHeight="1">
      <c r="B64" s="166"/>
      <c r="C64" s="173"/>
      <c r="D64" s="67"/>
      <c r="E64" s="67"/>
      <c r="F64" s="67"/>
      <c r="G64" s="67"/>
      <c r="H64" s="67"/>
      <c r="I64" s="67"/>
      <c r="J64" s="67"/>
      <c r="K64" s="67"/>
      <c r="L64" s="67"/>
      <c r="M64" s="67"/>
      <c r="N64" s="67"/>
      <c r="O64" s="67"/>
      <c r="P64" s="67"/>
      <c r="Q64" s="67"/>
      <c r="R64" s="67"/>
      <c r="S64" s="67"/>
      <c r="T64" s="67"/>
      <c r="U64" s="67"/>
      <c r="V64" s="67"/>
      <c r="W64" s="67"/>
      <c r="X64" s="67"/>
      <c r="Y64" s="67"/>
      <c r="Z64" s="67"/>
      <c r="AA64" s="67"/>
      <c r="AB64" s="151"/>
    </row>
    <row r="65" spans="2:28" ht="48.6" hidden="1" customHeight="1">
      <c r="B65" s="166"/>
      <c r="C65" s="173"/>
      <c r="D65" s="67"/>
      <c r="E65" s="67"/>
      <c r="F65" s="67"/>
      <c r="G65" s="67"/>
      <c r="H65" s="67"/>
      <c r="I65" s="67"/>
      <c r="J65" s="67"/>
      <c r="K65" s="67"/>
      <c r="L65" s="67"/>
      <c r="M65" s="67"/>
      <c r="N65" s="67"/>
      <c r="O65" s="67"/>
      <c r="P65" s="67"/>
      <c r="Q65" s="67"/>
      <c r="R65" s="67"/>
      <c r="S65" s="67"/>
      <c r="T65" s="67"/>
      <c r="U65" s="67"/>
      <c r="V65" s="67"/>
      <c r="W65" s="67"/>
      <c r="X65" s="67"/>
      <c r="Y65" s="67"/>
      <c r="Z65" s="67"/>
      <c r="AA65" s="67"/>
      <c r="AB65" s="151"/>
    </row>
    <row r="66" spans="2:28" hidden="1">
      <c r="B66" s="166"/>
      <c r="C66" s="173"/>
      <c r="D66" s="67"/>
      <c r="E66" s="67"/>
      <c r="F66" s="67"/>
      <c r="G66" s="67"/>
      <c r="H66" s="67"/>
      <c r="I66" s="67"/>
      <c r="J66" s="67"/>
      <c r="K66" s="67"/>
      <c r="L66" s="67"/>
      <c r="M66" s="67"/>
      <c r="N66" s="67"/>
      <c r="O66" s="67"/>
      <c r="P66" s="67"/>
      <c r="Q66" s="67"/>
      <c r="R66" s="67"/>
      <c r="S66" s="67"/>
      <c r="T66" s="67"/>
      <c r="U66" s="67"/>
      <c r="V66" s="67"/>
      <c r="W66" s="67"/>
      <c r="X66" s="67"/>
      <c r="Y66" s="67"/>
      <c r="Z66" s="67"/>
      <c r="AA66" s="67"/>
      <c r="AB66" s="151"/>
    </row>
    <row r="67" spans="2:28" hidden="1">
      <c r="B67" s="166"/>
      <c r="C67" s="173"/>
      <c r="D67" s="67"/>
      <c r="E67" s="67"/>
      <c r="F67" s="67"/>
      <c r="G67" s="67"/>
      <c r="H67" s="67"/>
      <c r="I67" s="67"/>
      <c r="J67" s="67"/>
      <c r="K67" s="67"/>
      <c r="L67" s="67"/>
      <c r="M67" s="67"/>
      <c r="N67" s="67"/>
      <c r="O67" s="67"/>
      <c r="P67" s="67"/>
      <c r="Q67" s="67"/>
      <c r="R67" s="67"/>
      <c r="S67" s="67"/>
      <c r="T67" s="67"/>
      <c r="U67" s="67"/>
      <c r="V67" s="67"/>
      <c r="W67" s="67"/>
      <c r="X67" s="67"/>
      <c r="Y67" s="67"/>
      <c r="Z67" s="67"/>
      <c r="AA67" s="67"/>
      <c r="AB67" s="151"/>
    </row>
    <row r="68" spans="2:28" hidden="1">
      <c r="B68" s="166"/>
      <c r="C68" s="173"/>
      <c r="D68" s="67"/>
      <c r="E68" s="67"/>
      <c r="F68" s="67"/>
      <c r="G68" s="67"/>
      <c r="H68" s="67"/>
      <c r="I68" s="67"/>
      <c r="J68" s="67"/>
      <c r="K68" s="67"/>
      <c r="L68" s="67"/>
      <c r="M68" s="67"/>
      <c r="N68" s="67"/>
      <c r="O68" s="67"/>
      <c r="P68" s="67"/>
      <c r="Q68" s="67"/>
      <c r="R68" s="67"/>
      <c r="S68" s="67"/>
      <c r="T68" s="67"/>
      <c r="U68" s="67"/>
      <c r="V68" s="67"/>
      <c r="W68" s="67"/>
      <c r="X68" s="67"/>
      <c r="Y68" s="67"/>
      <c r="Z68" s="67"/>
      <c r="AA68" s="67"/>
      <c r="AB68" s="151"/>
    </row>
    <row r="69" spans="2:28" hidden="1">
      <c r="B69" s="166"/>
      <c r="C69" s="173"/>
      <c r="D69" s="67"/>
      <c r="E69" s="67"/>
      <c r="F69" s="67"/>
      <c r="G69" s="67"/>
      <c r="H69" s="67"/>
      <c r="I69" s="67"/>
      <c r="J69" s="67"/>
      <c r="K69" s="67"/>
      <c r="L69" s="67"/>
      <c r="M69" s="67"/>
      <c r="N69" s="67"/>
      <c r="O69" s="67"/>
      <c r="P69" s="67"/>
      <c r="Q69" s="67"/>
      <c r="R69" s="67"/>
      <c r="S69" s="67"/>
      <c r="T69" s="67"/>
      <c r="U69" s="67"/>
      <c r="V69" s="67"/>
      <c r="W69" s="67"/>
      <c r="X69" s="67"/>
      <c r="Y69" s="67"/>
      <c r="Z69" s="67"/>
      <c r="AA69" s="67"/>
      <c r="AB69" s="151"/>
    </row>
    <row r="70" spans="2:28" hidden="1">
      <c r="B70" s="166"/>
      <c r="C70" s="173"/>
      <c r="D70" s="67"/>
      <c r="E70" s="67"/>
      <c r="F70" s="67"/>
      <c r="G70" s="67"/>
      <c r="H70" s="67"/>
      <c r="I70" s="67"/>
      <c r="J70" s="67"/>
      <c r="K70" s="67"/>
      <c r="L70" s="67"/>
      <c r="M70" s="67"/>
      <c r="N70" s="67"/>
      <c r="O70" s="67"/>
      <c r="P70" s="67"/>
      <c r="Q70" s="67"/>
      <c r="R70" s="67"/>
      <c r="S70" s="67"/>
      <c r="T70" s="67"/>
      <c r="U70" s="67"/>
      <c r="V70" s="67"/>
      <c r="W70" s="67"/>
      <c r="X70" s="67"/>
      <c r="Y70" s="67"/>
      <c r="Z70" s="67"/>
      <c r="AA70" s="67"/>
      <c r="AB70" s="151"/>
    </row>
    <row r="71" spans="2:28" hidden="1">
      <c r="B71" s="166"/>
      <c r="C71" s="173"/>
      <c r="D71" s="67"/>
      <c r="E71" s="67"/>
      <c r="F71" s="67"/>
      <c r="G71" s="67"/>
      <c r="H71" s="67"/>
      <c r="I71" s="67"/>
      <c r="J71" s="67"/>
      <c r="K71" s="67"/>
      <c r="L71" s="67"/>
      <c r="M71" s="67"/>
      <c r="N71" s="67"/>
      <c r="O71" s="67"/>
      <c r="P71" s="67"/>
      <c r="Q71" s="67"/>
      <c r="R71" s="67"/>
      <c r="S71" s="67"/>
      <c r="T71" s="67"/>
      <c r="U71" s="67"/>
      <c r="V71" s="67"/>
      <c r="W71" s="67"/>
      <c r="X71" s="67"/>
      <c r="Y71" s="67"/>
      <c r="Z71" s="67"/>
      <c r="AA71" s="67"/>
      <c r="AB71" s="151"/>
    </row>
    <row r="72" spans="2:28" hidden="1">
      <c r="B72" s="166"/>
      <c r="C72" s="173"/>
      <c r="D72" s="67"/>
      <c r="E72" s="67"/>
      <c r="F72" s="67"/>
      <c r="G72" s="67"/>
      <c r="H72" s="67"/>
      <c r="I72" s="67"/>
      <c r="J72" s="67"/>
      <c r="K72" s="67"/>
      <c r="L72" s="67"/>
      <c r="M72" s="67"/>
      <c r="N72" s="67"/>
      <c r="O72" s="67"/>
      <c r="P72" s="67"/>
      <c r="Q72" s="67"/>
      <c r="R72" s="67"/>
      <c r="S72" s="67"/>
      <c r="T72" s="67"/>
      <c r="U72" s="67"/>
      <c r="V72" s="67"/>
      <c r="W72" s="67"/>
      <c r="X72" s="67"/>
      <c r="Y72" s="67"/>
      <c r="Z72" s="67"/>
      <c r="AA72" s="67"/>
      <c r="AB72" s="151"/>
    </row>
    <row r="73" spans="2:28" hidden="1">
      <c r="B73" s="166"/>
      <c r="C73" s="173"/>
      <c r="D73" s="67"/>
      <c r="E73" s="67"/>
      <c r="F73" s="67"/>
      <c r="G73" s="67"/>
      <c r="H73" s="67"/>
      <c r="I73" s="67"/>
      <c r="J73" s="67"/>
      <c r="K73" s="67"/>
      <c r="L73" s="67"/>
      <c r="M73" s="67"/>
      <c r="N73" s="67"/>
      <c r="O73" s="67"/>
      <c r="P73" s="67"/>
      <c r="Q73" s="67"/>
      <c r="R73" s="67"/>
      <c r="S73" s="67"/>
      <c r="T73" s="67"/>
      <c r="U73" s="67"/>
      <c r="V73" s="67"/>
      <c r="W73" s="67"/>
      <c r="X73" s="67"/>
      <c r="Y73" s="67"/>
      <c r="Z73" s="67"/>
      <c r="AA73" s="67"/>
      <c r="AB73" s="151"/>
    </row>
    <row r="74" spans="2:28" hidden="1">
      <c r="B74" s="166"/>
      <c r="C74" s="173"/>
      <c r="D74" s="67"/>
      <c r="E74" s="67"/>
      <c r="F74" s="67"/>
      <c r="G74" s="67"/>
      <c r="H74" s="67"/>
      <c r="I74" s="67"/>
      <c r="J74" s="67"/>
      <c r="K74" s="67"/>
      <c r="L74" s="67"/>
      <c r="M74" s="67"/>
      <c r="N74" s="67"/>
      <c r="O74" s="67"/>
      <c r="P74" s="67"/>
      <c r="Q74" s="67"/>
      <c r="R74" s="67"/>
      <c r="S74" s="67"/>
      <c r="T74" s="67"/>
      <c r="U74" s="67"/>
      <c r="V74" s="67"/>
      <c r="W74" s="67"/>
      <c r="X74" s="67"/>
      <c r="Y74" s="67"/>
      <c r="Z74" s="67"/>
      <c r="AA74" s="67"/>
      <c r="AB74" s="151"/>
    </row>
    <row r="75" spans="2:28" hidden="1">
      <c r="B75" s="166"/>
      <c r="C75" s="173"/>
      <c r="D75" s="67"/>
      <c r="E75" s="67"/>
      <c r="F75" s="67"/>
      <c r="G75" s="67"/>
      <c r="H75" s="67"/>
      <c r="I75" s="67"/>
      <c r="J75" s="67"/>
      <c r="K75" s="67"/>
      <c r="L75" s="67"/>
      <c r="M75" s="67"/>
      <c r="N75" s="67"/>
      <c r="O75" s="67"/>
      <c r="P75" s="67"/>
      <c r="Q75" s="67"/>
      <c r="R75" s="67"/>
      <c r="S75" s="67"/>
      <c r="T75" s="67"/>
      <c r="U75" s="67"/>
      <c r="V75" s="67"/>
      <c r="W75" s="67"/>
      <c r="X75" s="67"/>
      <c r="Y75" s="67"/>
      <c r="Z75" s="67"/>
      <c r="AA75" s="67"/>
      <c r="AB75" s="151"/>
    </row>
    <row r="76" spans="2:28" hidden="1">
      <c r="B76" s="166"/>
      <c r="C76" s="173"/>
      <c r="D76" s="67"/>
      <c r="E76" s="67"/>
      <c r="F76" s="67"/>
      <c r="G76" s="67"/>
      <c r="H76" s="67"/>
      <c r="I76" s="67"/>
      <c r="J76" s="67"/>
      <c r="K76" s="67"/>
      <c r="L76" s="67"/>
      <c r="M76" s="67"/>
      <c r="N76" s="67"/>
      <c r="O76" s="67"/>
      <c r="P76" s="67"/>
      <c r="Q76" s="67"/>
      <c r="R76" s="67"/>
      <c r="S76" s="67"/>
      <c r="T76" s="67"/>
      <c r="U76" s="67"/>
      <c r="V76" s="67"/>
      <c r="W76" s="67"/>
      <c r="X76" s="67"/>
      <c r="Y76" s="67"/>
      <c r="Z76" s="67"/>
      <c r="AA76" s="67"/>
      <c r="AB76" s="151"/>
    </row>
    <row r="77" spans="2:28" hidden="1">
      <c r="B77" s="166"/>
      <c r="C77" s="173"/>
      <c r="D77" s="67"/>
      <c r="E77" s="67"/>
      <c r="F77" s="67"/>
      <c r="G77" s="67"/>
      <c r="H77" s="67"/>
      <c r="I77" s="67"/>
      <c r="J77" s="67"/>
      <c r="K77" s="67"/>
      <c r="L77" s="67"/>
      <c r="M77" s="67"/>
      <c r="N77" s="67"/>
      <c r="O77" s="67"/>
      <c r="P77" s="67"/>
      <c r="Q77" s="67"/>
      <c r="R77" s="67"/>
      <c r="S77" s="67"/>
      <c r="T77" s="67"/>
      <c r="U77" s="67"/>
      <c r="V77" s="67"/>
      <c r="W77" s="67"/>
      <c r="X77" s="67"/>
      <c r="Y77" s="67"/>
      <c r="Z77" s="67"/>
      <c r="AA77" s="67"/>
      <c r="AB77" s="151"/>
    </row>
    <row r="78" spans="2:28" hidden="1">
      <c r="B78" s="166"/>
      <c r="C78" s="173"/>
      <c r="D78" s="67"/>
      <c r="E78" s="67"/>
      <c r="F78" s="67"/>
      <c r="G78" s="67"/>
      <c r="H78" s="67"/>
      <c r="I78" s="67"/>
      <c r="J78" s="67"/>
      <c r="K78" s="67"/>
      <c r="L78" s="67"/>
      <c r="M78" s="67"/>
      <c r="N78" s="67"/>
      <c r="O78" s="67"/>
      <c r="P78" s="67"/>
      <c r="Q78" s="67"/>
      <c r="R78" s="67"/>
      <c r="S78" s="67"/>
      <c r="T78" s="67"/>
      <c r="U78" s="67"/>
      <c r="V78" s="67"/>
      <c r="W78" s="67"/>
      <c r="X78" s="67"/>
      <c r="Y78" s="67"/>
      <c r="Z78" s="67"/>
      <c r="AA78" s="67"/>
      <c r="AB78" s="151"/>
    </row>
    <row r="79" spans="2:28" hidden="1">
      <c r="B79" s="166"/>
      <c r="C79" s="173"/>
      <c r="D79" s="67"/>
      <c r="E79" s="67"/>
      <c r="F79" s="67"/>
      <c r="G79" s="67"/>
      <c r="H79" s="67"/>
      <c r="I79" s="67"/>
      <c r="J79" s="67"/>
      <c r="K79" s="67"/>
      <c r="L79" s="67"/>
      <c r="M79" s="67"/>
      <c r="N79" s="67"/>
      <c r="O79" s="67"/>
      <c r="P79" s="67"/>
      <c r="Q79" s="67"/>
      <c r="R79" s="67"/>
      <c r="S79" s="67"/>
      <c r="T79" s="67"/>
      <c r="U79" s="67"/>
      <c r="V79" s="67"/>
      <c r="W79" s="67"/>
      <c r="X79" s="67"/>
      <c r="Y79" s="67"/>
      <c r="Z79" s="67"/>
      <c r="AA79" s="67"/>
      <c r="AB79" s="151"/>
    </row>
    <row r="80" spans="2:28" hidden="1">
      <c r="B80" s="166"/>
      <c r="C80" s="173"/>
      <c r="D80" s="67"/>
      <c r="E80" s="67"/>
      <c r="F80" s="67"/>
      <c r="G80" s="67"/>
      <c r="H80" s="67"/>
      <c r="I80" s="67"/>
      <c r="J80" s="67"/>
      <c r="K80" s="67"/>
      <c r="L80" s="67"/>
      <c r="M80" s="67"/>
      <c r="N80" s="67"/>
      <c r="O80" s="67"/>
      <c r="P80" s="67"/>
      <c r="Q80" s="67"/>
      <c r="R80" s="67"/>
      <c r="S80" s="67"/>
      <c r="T80" s="67"/>
      <c r="U80" s="67"/>
      <c r="V80" s="67"/>
      <c r="W80" s="67"/>
      <c r="X80" s="67"/>
      <c r="Y80" s="67"/>
      <c r="Z80" s="67"/>
      <c r="AA80" s="67"/>
      <c r="AB80" s="151"/>
    </row>
    <row r="81" spans="2:28" hidden="1">
      <c r="B81" s="166"/>
      <c r="C81" s="173"/>
      <c r="D81" s="67"/>
      <c r="E81" s="67"/>
      <c r="F81" s="67"/>
      <c r="G81" s="67"/>
      <c r="H81" s="67"/>
      <c r="I81" s="67"/>
      <c r="J81" s="67"/>
      <c r="K81" s="67"/>
      <c r="L81" s="67"/>
      <c r="M81" s="67"/>
      <c r="N81" s="67"/>
      <c r="O81" s="67"/>
      <c r="P81" s="67"/>
      <c r="Q81" s="67"/>
      <c r="R81" s="67"/>
      <c r="S81" s="67"/>
      <c r="T81" s="67"/>
      <c r="U81" s="67"/>
      <c r="V81" s="67"/>
      <c r="W81" s="67"/>
      <c r="X81" s="67"/>
      <c r="Y81" s="67"/>
      <c r="Z81" s="67"/>
      <c r="AA81" s="67"/>
      <c r="AB81" s="151"/>
    </row>
    <row r="82" spans="2:28" hidden="1">
      <c r="B82" s="166"/>
      <c r="C82" s="173"/>
      <c r="D82" s="67"/>
      <c r="E82" s="67"/>
      <c r="F82" s="67"/>
      <c r="G82" s="67"/>
      <c r="H82" s="67"/>
      <c r="I82" s="67"/>
      <c r="J82" s="67"/>
      <c r="K82" s="67"/>
      <c r="L82" s="67"/>
      <c r="M82" s="67"/>
      <c r="N82" s="67"/>
      <c r="O82" s="67"/>
      <c r="P82" s="67"/>
      <c r="Q82" s="67"/>
      <c r="R82" s="67"/>
      <c r="S82" s="67"/>
      <c r="T82" s="67"/>
      <c r="U82" s="67"/>
      <c r="V82" s="67"/>
      <c r="W82" s="67"/>
      <c r="X82" s="67"/>
      <c r="Y82" s="67"/>
      <c r="Z82" s="67"/>
      <c r="AA82" s="67"/>
      <c r="AB82" s="151"/>
    </row>
    <row r="83" spans="2:28" hidden="1">
      <c r="B83" s="166"/>
      <c r="C83" s="173"/>
      <c r="D83" s="67"/>
      <c r="E83" s="67"/>
      <c r="F83" s="67"/>
      <c r="G83" s="67"/>
      <c r="H83" s="67"/>
      <c r="I83" s="67"/>
      <c r="J83" s="67"/>
      <c r="K83" s="67"/>
      <c r="L83" s="67"/>
      <c r="M83" s="67"/>
      <c r="N83" s="67"/>
      <c r="O83" s="67"/>
      <c r="P83" s="67"/>
      <c r="Q83" s="67"/>
      <c r="R83" s="67"/>
      <c r="S83" s="67"/>
      <c r="T83" s="67"/>
      <c r="U83" s="67"/>
      <c r="V83" s="67"/>
      <c r="W83" s="67"/>
      <c r="X83" s="67"/>
      <c r="Y83" s="67"/>
      <c r="Z83" s="67"/>
      <c r="AA83" s="67"/>
      <c r="AB83" s="151"/>
    </row>
    <row r="84" spans="2:28" hidden="1">
      <c r="B84" s="166"/>
      <c r="C84" s="173"/>
      <c r="D84" s="67"/>
      <c r="E84" s="67"/>
      <c r="F84" s="67"/>
      <c r="G84" s="67"/>
      <c r="H84" s="67"/>
      <c r="I84" s="67"/>
      <c r="J84" s="67"/>
      <c r="K84" s="67"/>
      <c r="L84" s="67"/>
      <c r="M84" s="67"/>
      <c r="N84" s="67"/>
      <c r="O84" s="67"/>
      <c r="P84" s="67"/>
      <c r="Q84" s="67"/>
      <c r="R84" s="67"/>
      <c r="S84" s="67"/>
      <c r="T84" s="67"/>
      <c r="U84" s="67"/>
      <c r="V84" s="67"/>
      <c r="W84" s="67"/>
      <c r="X84" s="67"/>
      <c r="Y84" s="67"/>
      <c r="Z84" s="67"/>
      <c r="AA84" s="67"/>
      <c r="AB84" s="151"/>
    </row>
    <row r="85" spans="2:28" hidden="1">
      <c r="B85" s="166"/>
      <c r="C85" s="173"/>
      <c r="D85" s="67"/>
      <c r="E85" s="67"/>
      <c r="F85" s="67"/>
      <c r="G85" s="67"/>
      <c r="H85" s="67"/>
      <c r="I85" s="67"/>
      <c r="J85" s="67"/>
      <c r="K85" s="67"/>
      <c r="L85" s="67"/>
      <c r="M85" s="67"/>
      <c r="N85" s="67"/>
      <c r="O85" s="67"/>
      <c r="P85" s="67"/>
      <c r="Q85" s="67"/>
      <c r="R85" s="67"/>
      <c r="S85" s="67"/>
      <c r="T85" s="67"/>
      <c r="U85" s="67"/>
      <c r="V85" s="67"/>
      <c r="W85" s="67"/>
      <c r="X85" s="67"/>
      <c r="Y85" s="67"/>
      <c r="Z85" s="67"/>
      <c r="AA85" s="67"/>
      <c r="AB85" s="151"/>
    </row>
    <row r="86" spans="2:28" hidden="1">
      <c r="B86" s="166"/>
      <c r="C86" s="173"/>
      <c r="D86" s="67"/>
      <c r="E86" s="67"/>
      <c r="F86" s="67"/>
      <c r="G86" s="67"/>
      <c r="H86" s="67"/>
      <c r="I86" s="67"/>
      <c r="J86" s="67"/>
      <c r="K86" s="67"/>
      <c r="L86" s="67"/>
      <c r="M86" s="67"/>
      <c r="N86" s="67"/>
      <c r="O86" s="67"/>
      <c r="P86" s="67"/>
      <c r="Q86" s="67"/>
      <c r="R86" s="67"/>
      <c r="S86" s="67"/>
      <c r="T86" s="67"/>
      <c r="U86" s="67"/>
      <c r="V86" s="67"/>
      <c r="W86" s="67"/>
      <c r="X86" s="67"/>
      <c r="Y86" s="67"/>
      <c r="Z86" s="67"/>
      <c r="AA86" s="67"/>
      <c r="AB86" s="151"/>
    </row>
    <row r="87" spans="2:28" hidden="1">
      <c r="B87" s="166"/>
      <c r="C87" s="173"/>
      <c r="D87" s="67"/>
      <c r="E87" s="67"/>
      <c r="F87" s="67"/>
      <c r="G87" s="67"/>
      <c r="H87" s="67"/>
      <c r="I87" s="67"/>
      <c r="J87" s="67"/>
      <c r="K87" s="67"/>
      <c r="L87" s="67"/>
      <c r="M87" s="67"/>
      <c r="N87" s="67"/>
      <c r="O87" s="67"/>
      <c r="P87" s="67"/>
      <c r="Q87" s="67"/>
      <c r="R87" s="67"/>
      <c r="S87" s="67"/>
      <c r="T87" s="67"/>
      <c r="U87" s="67"/>
      <c r="V87" s="67"/>
      <c r="W87" s="67"/>
      <c r="X87" s="67"/>
      <c r="Y87" s="67"/>
      <c r="Z87" s="67"/>
      <c r="AA87" s="67"/>
      <c r="AB87" s="151"/>
    </row>
    <row r="88" spans="2:28" hidden="1">
      <c r="B88" s="166"/>
      <c r="C88" s="173"/>
      <c r="D88" s="67"/>
      <c r="E88" s="67"/>
      <c r="F88" s="67"/>
      <c r="G88" s="67"/>
      <c r="H88" s="67"/>
      <c r="I88" s="67"/>
      <c r="J88" s="67"/>
      <c r="K88" s="67"/>
      <c r="L88" s="67"/>
      <c r="M88" s="67"/>
      <c r="N88" s="67"/>
      <c r="O88" s="67"/>
      <c r="P88" s="67"/>
      <c r="Q88" s="67"/>
      <c r="R88" s="67"/>
      <c r="S88" s="67"/>
      <c r="T88" s="67"/>
      <c r="U88" s="67"/>
      <c r="V88" s="67"/>
      <c r="W88" s="67"/>
      <c r="X88" s="67"/>
      <c r="Y88" s="67"/>
      <c r="Z88" s="67"/>
      <c r="AA88" s="67"/>
      <c r="AB88" s="151"/>
    </row>
    <row r="89" spans="2:28" hidden="1">
      <c r="B89" s="166"/>
      <c r="C89" s="173"/>
      <c r="D89" s="67"/>
      <c r="E89" s="67"/>
      <c r="F89" s="67"/>
      <c r="G89" s="67"/>
      <c r="H89" s="67"/>
      <c r="I89" s="67"/>
      <c r="J89" s="67"/>
      <c r="K89" s="67"/>
      <c r="L89" s="67"/>
      <c r="M89" s="67"/>
      <c r="N89" s="67"/>
      <c r="O89" s="67"/>
      <c r="P89" s="67"/>
      <c r="Q89" s="67"/>
      <c r="R89" s="67"/>
      <c r="S89" s="67"/>
      <c r="T89" s="67"/>
      <c r="U89" s="67"/>
      <c r="V89" s="67"/>
      <c r="W89" s="67"/>
      <c r="X89" s="67"/>
      <c r="Y89" s="67"/>
      <c r="Z89" s="67"/>
      <c r="AA89" s="67"/>
      <c r="AB89" s="151"/>
    </row>
    <row r="90" spans="2:28" hidden="1">
      <c r="B90" s="166"/>
      <c r="C90" s="173"/>
      <c r="D90" s="67"/>
      <c r="E90" s="67"/>
      <c r="F90" s="67"/>
      <c r="G90" s="67"/>
      <c r="H90" s="67"/>
      <c r="I90" s="67"/>
      <c r="J90" s="67"/>
      <c r="K90" s="67"/>
      <c r="L90" s="67"/>
      <c r="M90" s="67"/>
      <c r="N90" s="67"/>
      <c r="O90" s="67"/>
      <c r="P90" s="67"/>
      <c r="Q90" s="67"/>
      <c r="R90" s="67"/>
      <c r="S90" s="67"/>
      <c r="T90" s="67"/>
      <c r="U90" s="67"/>
      <c r="V90" s="67"/>
      <c r="W90" s="67"/>
      <c r="X90" s="67"/>
      <c r="Y90" s="67"/>
      <c r="Z90" s="67"/>
      <c r="AA90" s="67"/>
      <c r="AB90" s="151"/>
    </row>
    <row r="91" spans="2:28" hidden="1">
      <c r="B91" s="166"/>
      <c r="C91" s="173"/>
      <c r="D91" s="67"/>
      <c r="E91" s="67"/>
      <c r="F91" s="67"/>
      <c r="G91" s="67"/>
      <c r="H91" s="67"/>
      <c r="I91" s="67"/>
      <c r="J91" s="67"/>
      <c r="K91" s="67"/>
      <c r="L91" s="67"/>
      <c r="M91" s="67"/>
      <c r="N91" s="67"/>
      <c r="O91" s="67"/>
      <c r="P91" s="67"/>
      <c r="Q91" s="67"/>
      <c r="R91" s="67"/>
      <c r="S91" s="67"/>
      <c r="T91" s="67"/>
      <c r="U91" s="67"/>
      <c r="V91" s="67"/>
      <c r="W91" s="67"/>
      <c r="X91" s="67"/>
      <c r="Y91" s="67"/>
      <c r="Z91" s="67"/>
      <c r="AA91" s="67"/>
      <c r="AB91" s="151"/>
    </row>
    <row r="92" spans="2:28" hidden="1">
      <c r="B92" s="166"/>
      <c r="C92" s="173"/>
      <c r="D92" s="67"/>
      <c r="E92" s="67"/>
      <c r="F92" s="67"/>
      <c r="G92" s="67"/>
      <c r="H92" s="67"/>
      <c r="I92" s="67"/>
      <c r="J92" s="67"/>
      <c r="K92" s="67"/>
      <c r="L92" s="67"/>
      <c r="M92" s="67"/>
      <c r="N92" s="67"/>
      <c r="O92" s="67"/>
      <c r="P92" s="67"/>
      <c r="Q92" s="67"/>
      <c r="R92" s="67"/>
      <c r="S92" s="67"/>
      <c r="T92" s="67"/>
      <c r="U92" s="67"/>
      <c r="V92" s="67"/>
      <c r="W92" s="67"/>
      <c r="X92" s="67"/>
      <c r="Y92" s="67"/>
      <c r="Z92" s="67"/>
      <c r="AA92" s="67"/>
      <c r="AB92" s="151"/>
    </row>
    <row r="93" spans="2:28" hidden="1">
      <c r="B93" s="166"/>
      <c r="C93" s="173"/>
      <c r="D93" s="67"/>
      <c r="E93" s="67"/>
      <c r="F93" s="67"/>
      <c r="G93" s="67"/>
      <c r="H93" s="67"/>
      <c r="I93" s="67"/>
      <c r="J93" s="67"/>
      <c r="K93" s="67"/>
      <c r="L93" s="67"/>
      <c r="M93" s="67"/>
      <c r="N93" s="67"/>
      <c r="O93" s="67"/>
      <c r="P93" s="67"/>
      <c r="Q93" s="67"/>
      <c r="R93" s="67"/>
      <c r="S93" s="67"/>
      <c r="T93" s="67"/>
      <c r="U93" s="67"/>
      <c r="V93" s="67"/>
      <c r="W93" s="67"/>
      <c r="X93" s="67"/>
      <c r="Y93" s="67"/>
      <c r="Z93" s="67"/>
      <c r="AA93" s="67"/>
      <c r="AB93" s="151"/>
    </row>
    <row r="94" spans="2:28" hidden="1">
      <c r="B94" s="166"/>
      <c r="C94" s="173"/>
      <c r="D94" s="67"/>
      <c r="E94" s="67"/>
      <c r="F94" s="67"/>
      <c r="G94" s="67"/>
      <c r="H94" s="67"/>
      <c r="I94" s="67"/>
      <c r="J94" s="67"/>
      <c r="K94" s="67"/>
      <c r="L94" s="67"/>
      <c r="M94" s="67"/>
      <c r="N94" s="67"/>
      <c r="O94" s="67"/>
      <c r="P94" s="67"/>
      <c r="Q94" s="67"/>
      <c r="R94" s="67"/>
      <c r="S94" s="67"/>
      <c r="T94" s="67"/>
      <c r="U94" s="67"/>
      <c r="V94" s="67"/>
      <c r="W94" s="67"/>
      <c r="X94" s="67"/>
      <c r="Y94" s="67"/>
      <c r="Z94" s="67"/>
      <c r="AA94" s="67"/>
      <c r="AB94" s="151"/>
    </row>
    <row r="95" spans="2:28" hidden="1">
      <c r="B95" s="166"/>
      <c r="C95" s="173"/>
      <c r="D95" s="67"/>
      <c r="E95" s="67"/>
      <c r="F95" s="67"/>
      <c r="G95" s="67"/>
      <c r="H95" s="67"/>
      <c r="I95" s="67"/>
      <c r="J95" s="67"/>
      <c r="K95" s="67"/>
      <c r="L95" s="67"/>
      <c r="M95" s="67"/>
      <c r="N95" s="67"/>
      <c r="O95" s="67"/>
      <c r="P95" s="67"/>
      <c r="Q95" s="67"/>
      <c r="R95" s="67"/>
      <c r="S95" s="67"/>
      <c r="T95" s="67"/>
      <c r="U95" s="67"/>
      <c r="V95" s="67"/>
      <c r="W95" s="67"/>
      <c r="X95" s="67"/>
      <c r="Y95" s="67"/>
      <c r="Z95" s="67"/>
      <c r="AA95" s="67"/>
      <c r="AB95" s="151"/>
    </row>
    <row r="96" spans="2:28" hidden="1">
      <c r="B96" s="166"/>
      <c r="C96" s="173"/>
      <c r="D96" s="67"/>
      <c r="E96" s="67"/>
      <c r="F96" s="67"/>
      <c r="G96" s="67"/>
      <c r="H96" s="67"/>
      <c r="I96" s="67"/>
      <c r="J96" s="67"/>
      <c r="K96" s="67"/>
      <c r="L96" s="67"/>
      <c r="M96" s="67"/>
      <c r="N96" s="67"/>
      <c r="O96" s="67"/>
      <c r="P96" s="67"/>
      <c r="Q96" s="67"/>
      <c r="R96" s="67"/>
      <c r="S96" s="67"/>
      <c r="T96" s="67"/>
      <c r="U96" s="67"/>
      <c r="V96" s="67"/>
      <c r="W96" s="67"/>
      <c r="X96" s="67"/>
      <c r="Y96" s="67"/>
      <c r="Z96" s="67"/>
      <c r="AA96" s="67"/>
      <c r="AB96" s="151"/>
    </row>
    <row r="97" spans="2:28" hidden="1">
      <c r="B97" s="166"/>
      <c r="C97" s="173"/>
      <c r="D97" s="67"/>
      <c r="E97" s="67"/>
      <c r="F97" s="67"/>
      <c r="G97" s="67"/>
      <c r="H97" s="67"/>
      <c r="I97" s="67"/>
      <c r="J97" s="67"/>
      <c r="K97" s="67"/>
      <c r="L97" s="67"/>
      <c r="M97" s="67"/>
      <c r="N97" s="67"/>
      <c r="O97" s="67"/>
      <c r="P97" s="67"/>
      <c r="Q97" s="67"/>
      <c r="R97" s="67"/>
      <c r="S97" s="67"/>
      <c r="T97" s="67"/>
      <c r="U97" s="67"/>
      <c r="V97" s="67"/>
      <c r="W97" s="67"/>
      <c r="X97" s="67"/>
      <c r="Y97" s="67"/>
      <c r="Z97" s="67"/>
      <c r="AA97" s="67"/>
      <c r="AB97" s="151"/>
    </row>
    <row r="98" spans="2:28" hidden="1">
      <c r="B98" s="166"/>
      <c r="C98" s="173"/>
      <c r="D98" s="67"/>
      <c r="E98" s="67"/>
      <c r="F98" s="67"/>
      <c r="G98" s="67"/>
      <c r="H98" s="67"/>
      <c r="I98" s="67"/>
      <c r="J98" s="67"/>
      <c r="K98" s="67"/>
      <c r="L98" s="67"/>
      <c r="M98" s="67"/>
      <c r="N98" s="67"/>
      <c r="O98" s="67"/>
      <c r="P98" s="67"/>
      <c r="Q98" s="67"/>
      <c r="R98" s="67"/>
      <c r="S98" s="67"/>
      <c r="T98" s="67"/>
      <c r="U98" s="67"/>
      <c r="V98" s="67"/>
      <c r="W98" s="67"/>
      <c r="X98" s="67"/>
      <c r="Y98" s="67"/>
      <c r="Z98" s="67"/>
      <c r="AA98" s="67"/>
      <c r="AB98" s="151"/>
    </row>
    <row r="99" spans="2:28" hidden="1">
      <c r="B99" s="166"/>
      <c r="C99" s="173"/>
      <c r="D99" s="67"/>
      <c r="E99" s="67"/>
      <c r="F99" s="67"/>
      <c r="G99" s="67"/>
      <c r="H99" s="67"/>
      <c r="I99" s="67"/>
      <c r="J99" s="67"/>
      <c r="K99" s="67"/>
      <c r="L99" s="67"/>
      <c r="M99" s="67"/>
      <c r="N99" s="67"/>
      <c r="O99" s="67"/>
      <c r="P99" s="67"/>
      <c r="Q99" s="67"/>
      <c r="R99" s="67"/>
      <c r="S99" s="67"/>
      <c r="T99" s="67"/>
      <c r="U99" s="67"/>
      <c r="V99" s="67"/>
      <c r="W99" s="67"/>
      <c r="X99" s="67"/>
      <c r="Y99" s="67"/>
      <c r="Z99" s="67"/>
      <c r="AA99" s="67"/>
      <c r="AB99" s="151"/>
    </row>
    <row r="100" spans="2:28">
      <c r="B100" s="166"/>
      <c r="C100" s="173"/>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151"/>
    </row>
    <row r="101" spans="2:28">
      <c r="B101" s="166"/>
      <c r="C101" s="173"/>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151"/>
    </row>
    <row r="102" spans="2:28">
      <c r="B102" s="166"/>
      <c r="C102" s="17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151"/>
    </row>
    <row r="103" spans="2:28">
      <c r="B103" s="166"/>
      <c r="C103" s="173"/>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151"/>
    </row>
    <row r="104" spans="2:28">
      <c r="B104" s="166"/>
      <c r="C104" s="173"/>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151"/>
    </row>
  </sheetData>
  <sheetProtection algorithmName="SHA-512" hashValue="5hnV7zqzX1DrXf7RoZngvWm5i8lMsXcRdkbFqVePiBUuf17kRsWGJfvc5qXuNcESYyiPBCL8gESA1C3kg1vqRQ==" saltValue="0dvOsj2sv9FOJaFNQYlQlQ==" spinCount="100000" sheet="1" objects="1" scenarios="1"/>
  <dataConsolidate/>
  <mergeCells count="7">
    <mergeCell ref="D29:R29"/>
    <mergeCell ref="D22:R22"/>
    <mergeCell ref="T22:Z22"/>
    <mergeCell ref="D4:Z11"/>
    <mergeCell ref="D12:Z12"/>
    <mergeCell ref="D15:N20"/>
    <mergeCell ref="D14:N1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5539A975-533D-4802-975A-46FFA6EBF582}">
          <x14:formula1>
            <xm:f>INDIRECT(_xlfn.XLOOKUP(G24,Dropdown!$AZ$3:$AZ$32,Dropdown!$BA$3:$BA$32))</xm:f>
          </x14:formula1>
          <xm:sqref>J24:J25 J31:J60</xm:sqref>
        </x14:dataValidation>
        <x14:dataValidation type="list" allowBlank="1" showInputMessage="1" showErrorMessage="1" xr:uid="{9713CD48-DA9C-42E1-9B3A-3BE2095E1825}">
          <x14:formula1>
            <xm:f>INDIRECT(_xlfn.XLOOKUP(F24,Dropdown!$AV$3:$AV$31,Dropdown!$AW$3:$AW$31))</xm:f>
          </x14:formula1>
          <xm:sqref>G24:G25 G31:G60</xm:sqref>
        </x14:dataValidation>
        <x14:dataValidation type="list" allowBlank="1" showInputMessage="1" showErrorMessage="1" xr:uid="{7288D587-490B-4C6E-BB19-AA72102FC529}">
          <x14:formula1>
            <xm:f>Dropdown!$AY$3:$AY$8</xm:f>
          </x14:formula1>
          <xm:sqref>F25</xm:sqref>
        </x14:dataValidation>
        <x14:dataValidation type="list" allowBlank="1" showInputMessage="1" showErrorMessage="1" xr:uid="{84E2262F-389B-43C1-9E15-54B44BBF6F0A}">
          <x14:formula1>
            <xm:f>Dropdown!$AY$4:$AY$8</xm:f>
          </x14:formula1>
          <xm:sqref>F24 F31:F60</xm:sqref>
        </x14:dataValidation>
        <x14:dataValidation type="list" allowBlank="1" showInputMessage="1" showErrorMessage="1" xr:uid="{E277EA64-0550-4A71-A68C-7BA5FA11CCE7}">
          <x14:formula1>
            <xm:f>'Organisation Details'!$G$33:$G$58</xm:f>
          </x14:formula1>
          <xm:sqref>D31:D60</xm:sqref>
        </x14:dataValidation>
        <x14:dataValidation type="list" allowBlank="1" showInputMessage="1" showErrorMessage="1" xr:uid="{28387072-9712-4648-B28F-F09585873A07}">
          <x14:formula1>
            <xm:f>Dropdown!$C$3:$C$6</xm:f>
          </x14:formula1>
          <xm:sqref>D25</xm:sqref>
        </x14:dataValidation>
        <x14:dataValidation type="list" allowBlank="1" showInputMessage="1" showErrorMessage="1" xr:uid="{E938E934-70B2-4BF9-908C-D2FDEBF77D5B}">
          <x14:formula1>
            <xm:f>Dropdown!$C$3:$C$7</xm:f>
          </x14:formula1>
          <xm:sqref>D24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2D61-33EF-44D6-BA31-C9E5818B7569}">
  <sheetPr codeName="Sheet14">
    <tabColor rgb="FF9C86CD"/>
  </sheetPr>
  <dimension ref="A1:AD116"/>
  <sheetViews>
    <sheetView showGridLines="0" showRowColHeaders="0" topLeftCell="B2" zoomScale="75" zoomScaleNormal="75" workbookViewId="0">
      <selection activeCell="P20" sqref="P20"/>
    </sheetView>
  </sheetViews>
  <sheetFormatPr defaultColWidth="0" defaultRowHeight="14.25" zeroHeight="1"/>
  <cols>
    <col min="1" max="1" width="16.28515625" style="71" hidden="1" customWidth="1"/>
    <col min="2" max="2" width="4.28515625" style="71" customWidth="1"/>
    <col min="3" max="3" width="4.7109375" style="178" customWidth="1"/>
    <col min="4" max="4" width="36.28515625" style="71" customWidth="1"/>
    <col min="5" max="5" width="44.28515625" style="71" customWidth="1"/>
    <col min="6" max="6" width="39.42578125" style="71" customWidth="1"/>
    <col min="7" max="7" width="25.85546875" style="71" customWidth="1"/>
    <col min="8" max="8" width="48.7109375" style="71" hidden="1" customWidth="1"/>
    <col min="9" max="9" width="16" style="71" customWidth="1"/>
    <col min="10" max="10" width="9.140625" style="71" bestFit="1" customWidth="1"/>
    <col min="11" max="11" width="11.5703125" style="71" hidden="1" customWidth="1"/>
    <col min="12" max="12" width="30.7109375" style="71" bestFit="1" customWidth="1"/>
    <col min="13" max="13" width="20.85546875" style="71" customWidth="1"/>
    <col min="14" max="14" width="30.85546875" style="71" customWidth="1"/>
    <col min="15" max="15" width="25.7109375" style="71" customWidth="1"/>
    <col min="16" max="16" width="35.85546875" style="71" customWidth="1"/>
    <col min="17" max="17" width="150.7109375" style="71" customWidth="1"/>
    <col min="18" max="18" width="43.42578125" style="71" customWidth="1"/>
    <col min="19" max="29" width="14" style="71" customWidth="1"/>
    <col min="30" max="30" width="14" style="179" customWidth="1"/>
    <col min="31" max="16384" width="14" style="71" hidden="1"/>
  </cols>
  <sheetData>
    <row r="1" spans="1:30" ht="14.1" hidden="1" customHeight="1">
      <c r="C1" s="71"/>
      <c r="D1" s="166"/>
      <c r="E1" s="166"/>
      <c r="F1" s="166"/>
      <c r="G1" s="166"/>
      <c r="H1" s="166"/>
      <c r="I1" s="166"/>
      <c r="J1" s="166"/>
      <c r="K1" s="166"/>
      <c r="L1" s="166"/>
      <c r="M1" s="166"/>
      <c r="N1" s="166"/>
      <c r="O1" s="166"/>
      <c r="P1" s="166"/>
      <c r="Q1" s="166"/>
      <c r="R1" s="166"/>
      <c r="S1" s="166"/>
      <c r="T1" s="166"/>
      <c r="U1" s="166"/>
      <c r="V1" s="166"/>
      <c r="W1" s="166"/>
      <c r="X1" s="166"/>
      <c r="Y1" s="166"/>
      <c r="Z1" s="166"/>
      <c r="AD1" s="71"/>
    </row>
    <row r="2" spans="1:30" ht="13.5" customHeight="1">
      <c r="A2" s="71" t="str">
        <f>Introduction!$E$14</f>
        <v>Føroyskt</v>
      </c>
      <c r="B2" s="167"/>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row>
    <row r="3" spans="1:30">
      <c r="A3" s="168" t="s">
        <v>0</v>
      </c>
      <c r="B3" s="166"/>
      <c r="C3" s="169"/>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1"/>
    </row>
    <row r="4" spans="1:30" ht="5.0999999999999996" customHeight="1">
      <c r="A4" s="71" t="s">
        <v>114</v>
      </c>
      <c r="B4" s="172"/>
      <c r="C4" s="173"/>
      <c r="D4" s="418" t="str">
        <f>IF($A$2="English",_xlfn.XLOOKUP($A$3,Descriptions!$A:$A,Descriptions!$B:$B),_xlfn.XLOOKUP($A$3,Descriptions!$A:$A,Descriptions!$C:$C))</f>
        <v>Føroyskur CO2-roknari. Ár: 2023</v>
      </c>
      <c r="E4" s="418"/>
      <c r="F4" s="418"/>
      <c r="G4" s="418"/>
      <c r="H4" s="418"/>
      <c r="I4" s="418"/>
      <c r="J4" s="418"/>
      <c r="K4" s="418"/>
      <c r="L4" s="418"/>
      <c r="M4" s="418"/>
      <c r="N4" s="418"/>
      <c r="O4" s="418"/>
      <c r="P4" s="418"/>
      <c r="Q4" s="418"/>
      <c r="R4" s="418"/>
      <c r="S4" s="418"/>
      <c r="T4" s="418"/>
      <c r="U4" s="67"/>
      <c r="V4" s="67"/>
      <c r="W4" s="67"/>
      <c r="X4" s="67"/>
      <c r="Y4" s="67"/>
      <c r="Z4" s="67"/>
      <c r="AA4" s="67"/>
      <c r="AB4" s="67"/>
      <c r="AC4" s="67"/>
      <c r="AD4" s="151"/>
    </row>
    <row r="5" spans="1:30" ht="5.0999999999999996" customHeight="1">
      <c r="A5" s="71" t="s">
        <v>275</v>
      </c>
      <c r="B5" s="166"/>
      <c r="C5" s="173"/>
      <c r="D5" s="418"/>
      <c r="E5" s="418"/>
      <c r="F5" s="418"/>
      <c r="G5" s="418"/>
      <c r="H5" s="418"/>
      <c r="I5" s="418"/>
      <c r="J5" s="418"/>
      <c r="K5" s="418"/>
      <c r="L5" s="418"/>
      <c r="M5" s="418"/>
      <c r="N5" s="418"/>
      <c r="O5" s="418"/>
      <c r="P5" s="418"/>
      <c r="Q5" s="418"/>
      <c r="R5" s="418"/>
      <c r="S5" s="418"/>
      <c r="T5" s="418"/>
      <c r="U5" s="67"/>
      <c r="V5" s="67"/>
      <c r="W5" s="67"/>
      <c r="X5" s="67"/>
      <c r="Y5" s="67"/>
      <c r="Z5" s="67"/>
      <c r="AA5" s="67"/>
      <c r="AB5" s="67"/>
      <c r="AC5" s="67"/>
      <c r="AD5" s="151"/>
    </row>
    <row r="6" spans="1:30" ht="5.0999999999999996" customHeight="1">
      <c r="A6" s="71" t="s">
        <v>276</v>
      </c>
      <c r="B6" s="166"/>
      <c r="C6" s="173"/>
      <c r="D6" s="418"/>
      <c r="E6" s="418"/>
      <c r="F6" s="418"/>
      <c r="G6" s="418"/>
      <c r="H6" s="418"/>
      <c r="I6" s="418"/>
      <c r="J6" s="418"/>
      <c r="K6" s="418"/>
      <c r="L6" s="418"/>
      <c r="M6" s="418"/>
      <c r="N6" s="418"/>
      <c r="O6" s="418"/>
      <c r="P6" s="418"/>
      <c r="Q6" s="418"/>
      <c r="R6" s="418"/>
      <c r="S6" s="418"/>
      <c r="T6" s="418"/>
      <c r="U6" s="67"/>
      <c r="V6" s="67"/>
      <c r="W6" s="67"/>
      <c r="X6" s="67"/>
      <c r="Y6" s="67"/>
      <c r="Z6" s="67"/>
      <c r="AA6" s="67"/>
      <c r="AB6" s="67"/>
      <c r="AC6" s="67"/>
      <c r="AD6" s="151"/>
    </row>
    <row r="7" spans="1:30" ht="5.0999999999999996" customHeight="1">
      <c r="A7" s="71" t="s">
        <v>167</v>
      </c>
      <c r="B7" s="166"/>
      <c r="C7" s="173"/>
      <c r="D7" s="418"/>
      <c r="E7" s="418"/>
      <c r="F7" s="418"/>
      <c r="G7" s="418"/>
      <c r="H7" s="418"/>
      <c r="I7" s="418"/>
      <c r="J7" s="418"/>
      <c r="K7" s="418"/>
      <c r="L7" s="418"/>
      <c r="M7" s="418"/>
      <c r="N7" s="418"/>
      <c r="O7" s="418"/>
      <c r="P7" s="418"/>
      <c r="Q7" s="418"/>
      <c r="R7" s="418"/>
      <c r="S7" s="418"/>
      <c r="T7" s="418"/>
      <c r="U7" s="67"/>
      <c r="V7" s="67"/>
      <c r="W7" s="67"/>
      <c r="X7" s="67"/>
      <c r="Y7" s="67"/>
      <c r="Z7" s="67"/>
      <c r="AA7" s="67"/>
      <c r="AB7" s="67"/>
      <c r="AC7" s="67"/>
      <c r="AD7" s="151"/>
    </row>
    <row r="8" spans="1:30" ht="5.0999999999999996" customHeight="1">
      <c r="A8" s="71" t="s">
        <v>168</v>
      </c>
      <c r="B8" s="166"/>
      <c r="C8" s="173"/>
      <c r="D8" s="418"/>
      <c r="E8" s="418"/>
      <c r="F8" s="418"/>
      <c r="G8" s="418"/>
      <c r="H8" s="418"/>
      <c r="I8" s="418"/>
      <c r="J8" s="418"/>
      <c r="K8" s="418"/>
      <c r="L8" s="418"/>
      <c r="M8" s="418"/>
      <c r="N8" s="418"/>
      <c r="O8" s="418"/>
      <c r="P8" s="418"/>
      <c r="Q8" s="418"/>
      <c r="R8" s="418"/>
      <c r="S8" s="418"/>
      <c r="T8" s="418"/>
      <c r="U8" s="67"/>
      <c r="V8" s="67"/>
      <c r="W8" s="67"/>
      <c r="X8" s="67"/>
      <c r="Y8" s="67"/>
      <c r="Z8" s="67"/>
      <c r="AA8" s="67"/>
      <c r="AB8" s="67"/>
      <c r="AC8" s="67"/>
      <c r="AD8" s="151"/>
    </row>
    <row r="9" spans="1:30" ht="5.0999999999999996" customHeight="1">
      <c r="A9" s="71" t="s">
        <v>169</v>
      </c>
      <c r="B9" s="166"/>
      <c r="C9" s="173"/>
      <c r="D9" s="418"/>
      <c r="E9" s="418"/>
      <c r="F9" s="418"/>
      <c r="G9" s="418"/>
      <c r="H9" s="418"/>
      <c r="I9" s="418"/>
      <c r="J9" s="418"/>
      <c r="K9" s="418"/>
      <c r="L9" s="418"/>
      <c r="M9" s="418"/>
      <c r="N9" s="418"/>
      <c r="O9" s="418"/>
      <c r="P9" s="418"/>
      <c r="Q9" s="418"/>
      <c r="R9" s="418"/>
      <c r="S9" s="418"/>
      <c r="T9" s="418"/>
      <c r="U9" s="67"/>
      <c r="V9" s="67"/>
      <c r="W9" s="67"/>
      <c r="X9" s="67"/>
      <c r="Y9" s="67"/>
      <c r="Z9" s="67"/>
      <c r="AA9" s="67"/>
      <c r="AB9" s="67"/>
      <c r="AC9" s="67"/>
      <c r="AD9" s="151"/>
    </row>
    <row r="10" spans="1:30" ht="5.0999999999999996" customHeight="1">
      <c r="A10" s="71" t="s">
        <v>170</v>
      </c>
      <c r="B10" s="166"/>
      <c r="C10" s="173"/>
      <c r="D10" s="418"/>
      <c r="E10" s="418"/>
      <c r="F10" s="418"/>
      <c r="G10" s="418"/>
      <c r="H10" s="418"/>
      <c r="I10" s="418"/>
      <c r="J10" s="418"/>
      <c r="K10" s="418"/>
      <c r="L10" s="418"/>
      <c r="M10" s="418"/>
      <c r="N10" s="418"/>
      <c r="O10" s="418"/>
      <c r="P10" s="418"/>
      <c r="Q10" s="418"/>
      <c r="R10" s="418"/>
      <c r="S10" s="418"/>
      <c r="T10" s="418"/>
      <c r="U10" s="67"/>
      <c r="V10" s="67"/>
      <c r="W10" s="67"/>
      <c r="X10" s="67"/>
      <c r="Y10" s="67"/>
      <c r="Z10" s="67"/>
      <c r="AA10" s="67"/>
      <c r="AB10" s="67"/>
      <c r="AC10" s="67"/>
      <c r="AD10" s="151"/>
    </row>
    <row r="11" spans="1:30" ht="5.0999999999999996" customHeight="1">
      <c r="A11" s="71" t="s">
        <v>171</v>
      </c>
      <c r="B11" s="166"/>
      <c r="C11" s="173"/>
      <c r="D11" s="418"/>
      <c r="E11" s="418"/>
      <c r="F11" s="418"/>
      <c r="G11" s="418"/>
      <c r="H11" s="418"/>
      <c r="I11" s="418"/>
      <c r="J11" s="418"/>
      <c r="K11" s="418"/>
      <c r="L11" s="418"/>
      <c r="M11" s="418"/>
      <c r="N11" s="418"/>
      <c r="O11" s="418"/>
      <c r="P11" s="418"/>
      <c r="Q11" s="418"/>
      <c r="R11" s="418"/>
      <c r="S11" s="418"/>
      <c r="T11" s="418"/>
      <c r="U11" s="67"/>
      <c r="V11" s="67"/>
      <c r="W11" s="67"/>
      <c r="X11" s="67"/>
      <c r="Y11" s="67"/>
      <c r="Z11" s="67"/>
      <c r="AA11" s="67"/>
      <c r="AB11" s="67"/>
      <c r="AC11" s="67"/>
      <c r="AD11" s="151"/>
    </row>
    <row r="12" spans="1:30" ht="99.95" customHeight="1">
      <c r="A12" s="71" t="s">
        <v>172</v>
      </c>
      <c r="B12" s="166"/>
      <c r="C12" s="173"/>
      <c r="D12" s="419" t="str">
        <f>IF($A$2="English",_xlfn.XLOOKUP($A$4,Descriptions!$A:$A,Descriptions!$B:$B),_xlfn.XLOOKUP($A$4,Descriptions!$A:$A,Descriptions!$C:$C))</f>
        <v>V3 - Burturkast frá virksemi</v>
      </c>
      <c r="E12" s="419"/>
      <c r="F12" s="419"/>
      <c r="G12" s="419"/>
      <c r="H12" s="419"/>
      <c r="I12" s="419"/>
      <c r="J12" s="419"/>
      <c r="K12" s="419"/>
      <c r="L12" s="419"/>
      <c r="M12" s="419"/>
      <c r="N12" s="419"/>
      <c r="O12" s="419"/>
      <c r="P12" s="419"/>
      <c r="Q12" s="419"/>
      <c r="R12" s="419"/>
      <c r="S12" s="419"/>
      <c r="T12" s="419"/>
      <c r="U12" s="67"/>
      <c r="V12" s="67"/>
      <c r="W12" s="67"/>
      <c r="X12" s="67"/>
      <c r="Y12" s="67"/>
      <c r="Z12" s="67"/>
      <c r="AA12" s="67"/>
      <c r="AB12" s="67"/>
      <c r="AC12" s="67"/>
      <c r="AD12" s="151"/>
    </row>
    <row r="13" spans="1:30">
      <c r="A13" s="71" t="s">
        <v>173</v>
      </c>
      <c r="B13" s="166"/>
      <c r="C13" s="173"/>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51"/>
    </row>
    <row r="14" spans="1:30" ht="30" customHeight="1">
      <c r="A14" s="71" t="s">
        <v>175</v>
      </c>
      <c r="B14" s="166"/>
      <c r="C14" s="173"/>
      <c r="D14" s="437" t="str">
        <f>IF($A$2="English",_xlfn.XLOOKUP($A$27,Descriptions!$A:$A,Descriptions!$B:$B),_xlfn.XLOOKUP($A$27,Descriptions!$A:$A,Descriptions!$C:$C))</f>
        <v>Vegleiðing</v>
      </c>
      <c r="E14" s="437"/>
      <c r="F14" s="437"/>
      <c r="G14" s="437"/>
      <c r="H14" s="437"/>
      <c r="I14" s="437"/>
      <c r="J14" s="437"/>
      <c r="K14" s="437"/>
      <c r="L14" s="437"/>
      <c r="M14" s="437"/>
      <c r="N14" s="437"/>
      <c r="O14" s="67"/>
      <c r="P14" s="347" t="str">
        <f>'V3 - Employee Commuting'!P14</f>
        <v>Key</v>
      </c>
      <c r="Q14" s="67"/>
      <c r="R14" s="67"/>
      <c r="S14" s="67"/>
      <c r="T14" s="67"/>
      <c r="U14" s="67"/>
      <c r="V14" s="67"/>
      <c r="W14" s="67"/>
      <c r="X14" s="67"/>
      <c r="Y14" s="67"/>
      <c r="Z14" s="67"/>
      <c r="AA14" s="67"/>
      <c r="AB14" s="67"/>
      <c r="AC14" s="67"/>
      <c r="AD14" s="151"/>
    </row>
    <row r="15" spans="1:30" ht="14.1" customHeight="1">
      <c r="A15" s="71" t="s">
        <v>176</v>
      </c>
      <c r="B15" s="166"/>
      <c r="C15" s="173"/>
      <c r="D15" s="424" t="str">
        <f>IF($A$2="English",_xlfn.XLOOKUP($A$5,Descriptions!$A:$A,Descriptions!$B:$B),_xlfn.XLOOKUP($A$5,Descriptions!$A:$A,Descriptions!$C:$C))</f>
        <v>Vav 3 - Burturkast frá virksemi fevnir um burturbeining og viðgerð hjá triðja parti av burturkasti frá virksemi, ið fyritøkan varðar av. Fyritøkur skulu boða frá nøgd av burturbeindum burturkasti frá virksemi teirra og hvagar tað fer, t.d. til IRF ella KB.
Kravdar dátur:
• Fasilitetur/ogn og staðseting (haðan burturkasti stavar)
• Virksemi (sum elvir til burturkast)
• Burturkastbólkur
• Endastøð
• Burturkastnøgd
• Eind fyri burturkast
GG:
• Tons = 1000 kg</v>
      </c>
      <c r="E15" s="424"/>
      <c r="F15" s="424"/>
      <c r="G15" s="424"/>
      <c r="H15" s="424"/>
      <c r="I15" s="424"/>
      <c r="J15" s="424"/>
      <c r="K15" s="424"/>
      <c r="L15" s="424"/>
      <c r="M15" s="424"/>
      <c r="N15" s="424"/>
      <c r="O15" s="67"/>
      <c r="P15" s="81" t="str">
        <f>'V3 - Employee Commuting'!P15</f>
        <v>Dátuíkast - Fallmynd</v>
      </c>
      <c r="Q15" s="94"/>
      <c r="R15" s="67"/>
      <c r="S15" s="67"/>
      <c r="T15" s="67"/>
      <c r="U15" s="67"/>
      <c r="V15" s="67"/>
      <c r="W15" s="67"/>
      <c r="X15" s="67"/>
      <c r="Y15" s="67"/>
      <c r="Z15" s="67"/>
      <c r="AA15" s="67"/>
      <c r="AB15" s="67"/>
      <c r="AC15" s="67"/>
      <c r="AD15" s="151"/>
    </row>
    <row r="16" spans="1:30" ht="14.1" customHeight="1">
      <c r="A16" s="71" t="s">
        <v>177</v>
      </c>
      <c r="B16" s="166"/>
      <c r="C16" s="173"/>
      <c r="D16" s="424"/>
      <c r="E16" s="424"/>
      <c r="F16" s="424"/>
      <c r="G16" s="424"/>
      <c r="H16" s="424"/>
      <c r="I16" s="424"/>
      <c r="J16" s="424"/>
      <c r="K16" s="424"/>
      <c r="L16" s="424"/>
      <c r="M16" s="424"/>
      <c r="N16" s="424"/>
      <c r="O16" s="67"/>
      <c r="P16" s="82" t="str">
        <f>'V3 - Employee Commuting'!P16</f>
        <v>Dátuíkast - Tøppa inn</v>
      </c>
      <c r="Q16" s="94"/>
      <c r="R16" s="94"/>
      <c r="S16" s="67"/>
      <c r="T16" s="67"/>
      <c r="U16" s="67"/>
      <c r="V16" s="67"/>
      <c r="W16" s="67"/>
      <c r="X16" s="67"/>
      <c r="Y16" s="67"/>
      <c r="Z16" s="67"/>
      <c r="AA16" s="67"/>
      <c r="AB16" s="67"/>
      <c r="AC16" s="67"/>
      <c r="AD16" s="151"/>
    </row>
    <row r="17" spans="1:30" ht="14.1" customHeight="1">
      <c r="A17" s="71" t="s">
        <v>178</v>
      </c>
      <c r="B17" s="166"/>
      <c r="C17" s="173"/>
      <c r="D17" s="424"/>
      <c r="E17" s="424"/>
      <c r="F17" s="424"/>
      <c r="G17" s="424"/>
      <c r="H17" s="424"/>
      <c r="I17" s="424"/>
      <c r="J17" s="424"/>
      <c r="K17" s="424"/>
      <c r="L17" s="424"/>
      <c r="M17" s="424"/>
      <c r="N17" s="424"/>
      <c r="O17" s="67"/>
      <c r="P17" s="302" t="str">
        <f>'V3 - Employee Commuting'!P17</f>
        <v>Leiting (fastløst)</v>
      </c>
      <c r="Q17" s="94"/>
      <c r="R17" s="94"/>
      <c r="S17" s="67"/>
      <c r="T17" s="67"/>
      <c r="U17" s="67"/>
      <c r="V17" s="67"/>
      <c r="W17" s="67"/>
      <c r="X17" s="67"/>
      <c r="Y17" s="67"/>
      <c r="Z17" s="67"/>
      <c r="AA17" s="67"/>
      <c r="AB17" s="67"/>
      <c r="AC17" s="67"/>
      <c r="AD17" s="151"/>
    </row>
    <row r="18" spans="1:30" ht="14.1" customHeight="1">
      <c r="A18" s="71" t="s">
        <v>179</v>
      </c>
      <c r="B18" s="166"/>
      <c r="C18" s="173"/>
      <c r="D18" s="424"/>
      <c r="E18" s="424"/>
      <c r="F18" s="424"/>
      <c r="G18" s="424"/>
      <c r="H18" s="424"/>
      <c r="I18" s="424"/>
      <c r="J18" s="424"/>
      <c r="K18" s="424"/>
      <c r="L18" s="424"/>
      <c r="M18" s="424"/>
      <c r="N18" s="424"/>
      <c r="O18" s="67"/>
      <c r="P18" s="83" t="str">
        <f>'V3 - Employee Commuting'!P18</f>
        <v>Útrokning</v>
      </c>
      <c r="Q18" s="94"/>
      <c r="R18" s="94"/>
      <c r="S18" s="67"/>
      <c r="T18" s="67"/>
      <c r="U18" s="67"/>
      <c r="V18" s="67"/>
      <c r="W18" s="67"/>
      <c r="X18" s="67"/>
      <c r="Y18" s="67"/>
      <c r="Z18" s="67"/>
      <c r="AA18" s="67"/>
      <c r="AB18" s="67"/>
      <c r="AC18" s="67"/>
      <c r="AD18" s="151"/>
    </row>
    <row r="19" spans="1:30" ht="80.099999999999994" customHeight="1">
      <c r="A19" s="71" t="s">
        <v>180</v>
      </c>
      <c r="B19" s="166"/>
      <c r="C19" s="173"/>
      <c r="D19" s="424"/>
      <c r="E19" s="424"/>
      <c r="F19" s="424"/>
      <c r="G19" s="424"/>
      <c r="H19" s="424"/>
      <c r="I19" s="424"/>
      <c r="J19" s="424"/>
      <c r="K19" s="424"/>
      <c r="L19" s="424"/>
      <c r="M19" s="424"/>
      <c r="N19" s="424"/>
      <c r="O19" s="67"/>
      <c r="P19" s="122"/>
      <c r="Q19" s="94"/>
      <c r="R19" s="94"/>
      <c r="S19" s="67"/>
      <c r="T19" s="67"/>
      <c r="U19" s="67"/>
      <c r="V19" s="67"/>
      <c r="W19" s="67"/>
      <c r="X19" s="67"/>
      <c r="Y19" s="67"/>
      <c r="Z19" s="67"/>
      <c r="AA19" s="67"/>
      <c r="AB19" s="67"/>
      <c r="AC19" s="67"/>
      <c r="AD19" s="151"/>
    </row>
    <row r="20" spans="1:30" ht="80.099999999999994" customHeight="1">
      <c r="A20" s="71" t="s">
        <v>181</v>
      </c>
      <c r="B20" s="166"/>
      <c r="C20" s="173"/>
      <c r="D20" s="424"/>
      <c r="E20" s="424"/>
      <c r="F20" s="424"/>
      <c r="G20" s="424"/>
      <c r="H20" s="424"/>
      <c r="I20" s="424"/>
      <c r="J20" s="424"/>
      <c r="K20" s="424"/>
      <c r="L20" s="424"/>
      <c r="M20" s="424"/>
      <c r="N20" s="424"/>
      <c r="O20" s="67"/>
      <c r="P20" s="67"/>
      <c r="Q20" s="94"/>
      <c r="R20" s="94"/>
      <c r="S20" s="67"/>
      <c r="T20" s="67"/>
      <c r="U20" s="67"/>
      <c r="V20" s="67"/>
      <c r="W20" s="67"/>
      <c r="X20" s="67"/>
      <c r="Y20" s="67"/>
      <c r="Z20" s="67"/>
      <c r="AA20" s="67"/>
      <c r="AB20" s="67"/>
      <c r="AC20" s="67"/>
      <c r="AD20" s="151"/>
    </row>
    <row r="21" spans="1:30" ht="15.6" customHeight="1">
      <c r="A21" s="71" t="s">
        <v>182</v>
      </c>
      <c r="B21" s="166"/>
      <c r="C21" s="173"/>
      <c r="D21" s="67"/>
      <c r="E21" s="67"/>
      <c r="F21" s="67"/>
      <c r="G21" s="67"/>
      <c r="H21" s="67"/>
      <c r="I21" s="67"/>
      <c r="J21" s="67"/>
      <c r="K21" s="67"/>
      <c r="L21" s="67"/>
      <c r="M21" s="67"/>
      <c r="N21" s="67"/>
      <c r="O21" s="67"/>
      <c r="P21" s="67"/>
      <c r="Q21" s="67"/>
      <c r="R21" s="67"/>
      <c r="S21" s="67"/>
      <c r="T21" s="455"/>
      <c r="U21" s="455"/>
      <c r="V21" s="455"/>
      <c r="W21" s="455"/>
      <c r="X21" s="455"/>
      <c r="Y21" s="455"/>
      <c r="Z21" s="455"/>
      <c r="AA21" s="67"/>
      <c r="AB21" s="67"/>
      <c r="AC21" s="67"/>
      <c r="AD21" s="151"/>
    </row>
    <row r="22" spans="1:30" ht="30" customHeight="1">
      <c r="A22" s="71" t="s">
        <v>183</v>
      </c>
      <c r="B22" s="166"/>
      <c r="C22" s="173"/>
      <c r="D22" s="438" t="str">
        <f>IF($A$2="English",_xlfn.XLOOKUP($A$7,Descriptions!$A:$A,Descriptions!$B:$B),_xlfn.XLOOKUP($A$7,Descriptions!$A:$A,Descriptions!$C:$C))</f>
        <v>Dømi</v>
      </c>
      <c r="E22" s="438"/>
      <c r="F22" s="438"/>
      <c r="G22" s="438"/>
      <c r="H22" s="438"/>
      <c r="I22" s="438"/>
      <c r="J22" s="438"/>
      <c r="K22" s="438"/>
      <c r="L22" s="438"/>
      <c r="M22" s="438"/>
      <c r="N22" s="438"/>
      <c r="O22" s="438"/>
      <c r="P22" s="438"/>
      <c r="Q22" s="438"/>
      <c r="R22" s="438"/>
      <c r="S22" s="67"/>
      <c r="T22" s="67"/>
      <c r="U22" s="67"/>
      <c r="V22" s="67"/>
      <c r="W22" s="67"/>
      <c r="X22" s="67"/>
      <c r="Y22" s="67"/>
      <c r="Z22" s="67"/>
      <c r="AA22" s="67"/>
      <c r="AB22" s="67"/>
      <c r="AC22" s="67"/>
      <c r="AD22" s="151"/>
    </row>
    <row r="23" spans="1:30" ht="30" customHeight="1">
      <c r="A23" s="71" t="s">
        <v>277</v>
      </c>
      <c r="B23" s="166"/>
      <c r="C23" s="173"/>
      <c r="D23" s="331" t="str">
        <f>IF($A$2="English",_xlfn.XLOOKUP($A$8,Descriptions!$A:$A,Descriptions!$B:$B),_xlfn.XLOOKUP($A$8,Descriptions!$A:$A,Descriptions!$C:$C))</f>
        <v>Fasilitetur/Ogn og staðseting</v>
      </c>
      <c r="E23" s="331" t="str">
        <f>IF($A$2="English",_xlfn.XLOOKUP($A$9,Descriptions!$A:$A,Descriptions!$B:$B),_xlfn.XLOOKUP($A$9,Descriptions!$A:$A,Descriptions!$C:$C))</f>
        <v>Virksemi</v>
      </c>
      <c r="F23" s="331" t="str">
        <f>IF($A$2="English",_xlfn.XLOOKUP($A$23,Descriptions!$A:$A,Descriptions!$B:$B),_xlfn.XLOOKUP($A$23,Descriptions!$A:$A,Descriptions!$C:$C))</f>
        <v>Slag av burturkasti</v>
      </c>
      <c r="G23" s="331" t="str">
        <f>IF($A$2="English",_xlfn.XLOOKUP($A$6,Descriptions!$A:$A,Descriptions!$B:$B),_xlfn.XLOOKUP($A$6,Descriptions!$A:$A,Descriptions!$C:$C))</f>
        <v>Endastøð</v>
      </c>
      <c r="H23" s="331" t="s">
        <v>185</v>
      </c>
      <c r="I23" s="331" t="str">
        <f>IF($A$2="English",_xlfn.XLOOKUP($A$13,Descriptions!$A:$A,Descriptions!$B:$B),_xlfn.XLOOKUP($A$13,Descriptions!$A:$A,Descriptions!$C:$C))</f>
        <v>Nøgd</v>
      </c>
      <c r="J23" s="331" t="str">
        <f>IF($A$2="English",_xlfn.XLOOKUP($A$14,Descriptions!$A:$A,Descriptions!$B:$B),_xlfn.XLOOKUP($A$14,Descriptions!$A:$A,Descriptions!$C:$C))</f>
        <v>Eindir</v>
      </c>
      <c r="K23" s="331" t="str">
        <f>IF($A$2="English",_xlfn.XLOOKUP($A$15,Descriptions!$A:$A,Descriptions!$B:$B),_xlfn.XLOOKUP($A$15,Descriptions!$A:$A,Descriptions!$C:$C))</f>
        <v>Set eind inn</v>
      </c>
      <c r="L23" s="331" t="s">
        <v>187</v>
      </c>
      <c r="M23" s="331" t="s">
        <v>188</v>
      </c>
      <c r="N23" s="331" t="str">
        <f>IF($A$2="English",_xlfn.XLOOKUP($A$11,Descriptions!$A:$A,Descriptions!$B:$B),_xlfn.XLOOKUP($A$11,Descriptions!$A:$A,Descriptions!$C:$C))</f>
        <v>Útlátsfaktorur - bólkur</v>
      </c>
      <c r="O23" s="331" t="str">
        <f>IF($A$2="English",_xlfn.XLOOKUP($A$19,Descriptions!$A:$A,Descriptions!$B:$B),_xlfn.XLOOKUP($A$19,Descriptions!$A:$A,Descriptions!$C:$C))</f>
        <v>Útlátsfaktorur Eind</v>
      </c>
      <c r="P23" s="331" t="str">
        <f>IF($A$2="English",_xlfn.XLOOKUP($A$20,Descriptions!$A:$A,Descriptions!$B:$B),_xlfn.XLOOKUP($A$20,Descriptions!$A:$A,Descriptions!$C:$C))</f>
        <v>Útlát av vakstrarhúsgassi (tons av CO2e)</v>
      </c>
      <c r="Q23" s="331" t="str">
        <f>IF($A$2="English",_xlfn.XLOOKUP($A$21,Descriptions!$A:$A,Descriptions!$B:$B),_xlfn.XLOOKUP($A$21,Descriptions!$A:$A,Descriptions!$C:$C))</f>
        <v>Kelda Útlátsfaktorur</v>
      </c>
      <c r="R23" s="331" t="str">
        <f>IF($A$2="English",_xlfn.XLOOKUP($A$22,Descriptions!$A:$A,Descriptions!$B:$B),_xlfn.XLOOKUP($A$22,Descriptions!$A:$A,Descriptions!$C:$C))</f>
        <v>Viðmerking frá brúkara</v>
      </c>
      <c r="S23" s="67"/>
      <c r="T23" s="203"/>
      <c r="U23" s="203"/>
      <c r="V23" s="203"/>
      <c r="W23" s="203"/>
      <c r="X23" s="203"/>
      <c r="Y23" s="203"/>
      <c r="Z23" s="203"/>
      <c r="AA23" s="67"/>
      <c r="AB23" s="67"/>
      <c r="AC23" s="67"/>
      <c r="AD23" s="151"/>
    </row>
    <row r="24" spans="1:30">
      <c r="A24" s="71" t="s">
        <v>184</v>
      </c>
      <c r="B24" s="166"/>
      <c r="C24" s="173"/>
      <c r="D24" s="95" t="s">
        <v>194</v>
      </c>
      <c r="E24" s="96" t="s">
        <v>278</v>
      </c>
      <c r="F24" s="95" t="s">
        <v>279</v>
      </c>
      <c r="G24" s="95" t="s">
        <v>280</v>
      </c>
      <c r="H24" s="97" t="str">
        <f>G24&amp;F24</f>
        <v>Recycled - Closed-loopPaper and board: mixed</v>
      </c>
      <c r="I24" s="98">
        <v>51</v>
      </c>
      <c r="J24" s="95" t="s">
        <v>281</v>
      </c>
      <c r="K24" s="97" t="str">
        <f>IF(J24="","",J24)</f>
        <v>tonnes</v>
      </c>
      <c r="L24" s="303" t="str">
        <f>IF(J24="","",_xlfn.XLOOKUP(H24,'Emission Factors'!$M$404:$M$427,'Emission Factors'!$U$404:$U$427))</f>
        <v>tonnes</v>
      </c>
      <c r="M24" s="309">
        <f>IF(L24="","",INDEX(Conversions!$C$14:$D$15,MATCH(K24,Conversions!$B$14:$B$15,0),MATCH(L24,Conversions!$C$13:$D$13,0)))</f>
        <v>1</v>
      </c>
      <c r="N24" s="309">
        <f>IF(J24="","",_xlfn.XLOOKUP(H24,'Emission Factors'!$M$404:$M$427,'Emission Factors'!$T$404:$T$427)*M24)</f>
        <v>21.280999999999999</v>
      </c>
      <c r="O24" s="305" t="str">
        <f>IF(J24="","","kgCO2e/"&amp;K24)</f>
        <v>kgCO2e/tonnes</v>
      </c>
      <c r="P24" s="129">
        <f t="shared" ref="P24:P25" si="0">IF(ISBLANK(I24)=TRUE,"",IF(ISBLANK(N24)=TRUE,"",I24*N24)/1000)</f>
        <v>1.0853309999999998</v>
      </c>
      <c r="Q24" s="303" t="str">
        <f>IF(J24="","",_xlfn.XLOOKUP(H24,'Emission Factors'!$M:$M,'Emission Factors'!$W:$W))</f>
        <v>UK Government (BEIS) Greenhouse gas reporting: conversion factors (2023) - Waste disposal - Paper - Paper and board: mixed - Recycled - Closed-loop</v>
      </c>
      <c r="R24" s="96"/>
      <c r="S24" s="67"/>
      <c r="T24" s="204"/>
      <c r="U24" s="204"/>
      <c r="V24" s="205"/>
      <c r="W24" s="206"/>
      <c r="X24" s="205"/>
      <c r="Y24" s="207"/>
      <c r="Z24" s="204"/>
      <c r="AA24" s="67"/>
      <c r="AB24" s="67"/>
      <c r="AC24" s="67"/>
      <c r="AD24" s="151"/>
    </row>
    <row r="25" spans="1:30">
      <c r="A25" s="71" t="s">
        <v>146</v>
      </c>
      <c r="B25" s="166"/>
      <c r="C25" s="173"/>
      <c r="D25" s="95" t="s">
        <v>274</v>
      </c>
      <c r="E25" s="157" t="s">
        <v>282</v>
      </c>
      <c r="F25" s="95" t="s">
        <v>283</v>
      </c>
      <c r="G25" s="95" t="s">
        <v>284</v>
      </c>
      <c r="H25" s="97" t="str">
        <f>G25&amp;F25</f>
        <v>CombustionCommercial and industrial waste</v>
      </c>
      <c r="I25" s="98">
        <v>5550</v>
      </c>
      <c r="J25" s="95" t="s">
        <v>226</v>
      </c>
      <c r="K25" s="97" t="str">
        <f t="shared" ref="K25" si="1">IF(J25="","",J25)</f>
        <v>kg</v>
      </c>
      <c r="L25" s="303" t="str">
        <f>IF(J25="","",_xlfn.XLOOKUP(H25,'Emission Factors'!$M$404:$M$427,'Emission Factors'!$U$404:$U$427))</f>
        <v>tonnes</v>
      </c>
      <c r="M25" s="309">
        <f>IF(L25="","",INDEX(Conversions!$C$14:$D$15,MATCH(K25,Conversions!$B$14:$B$15,0),MATCH(L25,Conversions!$C$13:$D$13,0)))</f>
        <v>1E-3</v>
      </c>
      <c r="N25" s="309">
        <f>IF(J25="","",_xlfn.XLOOKUP(H25,'Emission Factors'!$M$404:$M$427,'Emission Factors'!$T$404:$T$427)*M25)</f>
        <v>2.1280999999999998E-2</v>
      </c>
      <c r="O25" s="305" t="str">
        <f t="shared" ref="O25" si="2">IF(J25="","","kgCO2e/"&amp;K25)</f>
        <v>kgCO2e/kg</v>
      </c>
      <c r="P25" s="129">
        <f t="shared" si="0"/>
        <v>0.11810954999999998</v>
      </c>
      <c r="Q25" s="303" t="str">
        <f>IF(J25="","",_xlfn.XLOOKUP(H25,'Emission Factors'!$M:$M,'Emission Factors'!$W:$W))</f>
        <v>UK Government (BEIS) Greenhouse gas reporting: conversion factors (2023) - Waste disposal - Refuse - Commercial and industrial waste - Combustion</v>
      </c>
      <c r="R25" s="96"/>
      <c r="S25" s="67"/>
      <c r="T25" s="204"/>
      <c r="U25" s="204"/>
      <c r="V25" s="205"/>
      <c r="W25" s="206"/>
      <c r="X25" s="205"/>
      <c r="Y25" s="207"/>
      <c r="Z25" s="204"/>
      <c r="AA25" s="67"/>
      <c r="AB25" s="67"/>
      <c r="AC25" s="67"/>
      <c r="AD25" s="151"/>
    </row>
    <row r="26" spans="1:30">
      <c r="A26" s="71" t="s">
        <v>115</v>
      </c>
      <c r="B26" s="166"/>
      <c r="C26" s="173"/>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51"/>
    </row>
    <row r="27" spans="1:30" ht="15.6" customHeight="1">
      <c r="A27" s="71" t="s">
        <v>131</v>
      </c>
      <c r="B27" s="166"/>
      <c r="C27" s="173"/>
      <c r="D27" s="336" t="str">
        <f>'V3 - Employee Commuting'!D27</f>
        <v>Fyritøka</v>
      </c>
      <c r="E27" s="343">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51"/>
    </row>
    <row r="28" spans="1:30" ht="17.25" customHeight="1">
      <c r="B28" s="166"/>
      <c r="C28" s="173"/>
      <c r="D28" s="67"/>
      <c r="E28" s="67"/>
      <c r="F28" s="67"/>
      <c r="G28" s="67"/>
      <c r="H28" s="67"/>
      <c r="I28" s="67"/>
      <c r="J28" s="67"/>
      <c r="K28" s="67"/>
      <c r="L28" s="67"/>
      <c r="M28" s="67"/>
      <c r="N28" s="67"/>
      <c r="O28" s="67"/>
      <c r="P28" s="94"/>
      <c r="Q28" s="67"/>
      <c r="R28" s="67"/>
      <c r="S28" s="67"/>
      <c r="T28" s="67"/>
      <c r="U28" s="67"/>
      <c r="V28" s="67"/>
      <c r="W28" s="67"/>
      <c r="X28" s="67"/>
      <c r="Y28" s="67"/>
      <c r="Z28" s="67"/>
      <c r="AA28" s="67"/>
      <c r="AB28" s="67"/>
      <c r="AC28" s="67"/>
      <c r="AD28" s="151"/>
    </row>
    <row r="29" spans="1:30" ht="30" customHeight="1">
      <c r="B29" s="166"/>
      <c r="C29" s="173"/>
      <c r="D29" s="454" t="str">
        <f>IF($A$2="English",_xlfn.XLOOKUP($A$26,Descriptions!$A:$A,Descriptions!$B:$B),_xlfn.XLOOKUP($A$26,Descriptions!$A:$A,Descriptions!$C:$C))</f>
        <v>Talva við útlátsútrokningum</v>
      </c>
      <c r="E29" s="454"/>
      <c r="F29" s="454"/>
      <c r="G29" s="454"/>
      <c r="H29" s="454"/>
      <c r="I29" s="454"/>
      <c r="J29" s="454"/>
      <c r="K29" s="454"/>
      <c r="L29" s="454"/>
      <c r="M29" s="454"/>
      <c r="N29" s="454"/>
      <c r="O29" s="454"/>
      <c r="P29" s="454"/>
      <c r="Q29" s="454"/>
      <c r="R29" s="454"/>
      <c r="S29" s="67"/>
      <c r="T29" s="67"/>
      <c r="U29" s="67"/>
      <c r="V29" s="67"/>
      <c r="W29" s="67"/>
      <c r="X29" s="67"/>
      <c r="Y29" s="67"/>
      <c r="Z29" s="67"/>
      <c r="AA29" s="67"/>
      <c r="AB29" s="67"/>
      <c r="AC29" s="67"/>
      <c r="AD29" s="151"/>
    </row>
    <row r="30" spans="1:30" ht="30" customHeight="1">
      <c r="B30" s="166"/>
      <c r="C30" s="173"/>
      <c r="D30" s="331" t="str">
        <f>D23</f>
        <v>Fasilitetur/Ogn og staðseting</v>
      </c>
      <c r="E30" s="331" t="str">
        <f t="shared" ref="E30:R30" si="3">E23</f>
        <v>Virksemi</v>
      </c>
      <c r="F30" s="331" t="str">
        <f t="shared" si="3"/>
        <v>Slag av burturkasti</v>
      </c>
      <c r="G30" s="331" t="str">
        <f>G23</f>
        <v>Endastøð</v>
      </c>
      <c r="H30" s="331" t="str">
        <f t="shared" si="3"/>
        <v>Concat</v>
      </c>
      <c r="I30" s="331" t="str">
        <f t="shared" si="3"/>
        <v>Nøgd</v>
      </c>
      <c r="J30" s="331" t="str">
        <f t="shared" si="3"/>
        <v>Eindir</v>
      </c>
      <c r="K30" s="331" t="str">
        <f t="shared" si="3"/>
        <v>Set eind inn</v>
      </c>
      <c r="L30" s="331" t="str">
        <f t="shared" si="3"/>
        <v>Source Emission Factor Unit</v>
      </c>
      <c r="M30" s="331" t="str">
        <f t="shared" si="3"/>
        <v>Conversion Factor</v>
      </c>
      <c r="N30" s="331" t="str">
        <f>'V3 - Employee Commuting'!N30</f>
        <v>Útlátsfaktorur</v>
      </c>
      <c r="O30" s="331" t="str">
        <f t="shared" si="3"/>
        <v>Útlátsfaktorur Eind</v>
      </c>
      <c r="P30" s="331" t="str">
        <f t="shared" si="3"/>
        <v>Útlát av vakstrarhúsgassi (tons av CO2e)</v>
      </c>
      <c r="Q30" s="331" t="str">
        <f t="shared" si="3"/>
        <v>Kelda Útlátsfaktorur</v>
      </c>
      <c r="R30" s="331" t="str">
        <f t="shared" si="3"/>
        <v>Viðmerking frá brúkara</v>
      </c>
      <c r="S30" s="67"/>
      <c r="T30" s="208"/>
      <c r="U30" s="208"/>
      <c r="V30" s="208"/>
      <c r="W30" s="208"/>
      <c r="X30" s="208"/>
      <c r="Y30" s="208"/>
      <c r="Z30" s="208"/>
      <c r="AA30" s="67"/>
      <c r="AB30" s="67"/>
      <c r="AC30" s="67"/>
      <c r="AD30" s="151"/>
    </row>
    <row r="31" spans="1:30">
      <c r="B31" s="166"/>
      <c r="C31" s="173"/>
      <c r="D31" s="103"/>
      <c r="E31" s="104"/>
      <c r="F31" s="103"/>
      <c r="G31" s="103"/>
      <c r="H31" s="97" t="str">
        <f t="shared" ref="H31:H72" si="4">G31&amp;F31</f>
        <v/>
      </c>
      <c r="I31" s="143"/>
      <c r="J31" s="103"/>
      <c r="K31" s="97" t="str">
        <f>IF(J31="","",J31)</f>
        <v/>
      </c>
      <c r="L31" s="303" t="str">
        <f>IF(J31="","",_xlfn.XLOOKUP(H31,'Emission Factors'!$M$404:$M$427,'Emission Factors'!$U$404:$U$427))</f>
        <v/>
      </c>
      <c r="M31" s="309" t="str">
        <f>IF(L31="","",INDEX(Conversions!$C$14:$D$15,MATCH(K31,Conversions!$B$14:$B$15,0),MATCH(L31,Conversions!$C$13:$D$13,0)))</f>
        <v/>
      </c>
      <c r="N31" s="309" t="str">
        <f>IF(J31="","",_xlfn.XLOOKUP(H31,'Emission Factors'!$M$404:$M$427,'Emission Factors'!$T$404:$T$427)*M31)</f>
        <v/>
      </c>
      <c r="O31" s="305" t="str">
        <f>IF(J31="","","kgCO2e/"&amp;K31)</f>
        <v/>
      </c>
      <c r="P31" s="209" t="str">
        <f t="shared" ref="P31:P33" si="5">IF(ISBLANK(I31)=TRUE,"",IF(ISBLANK(N31)=TRUE,"",I31*N31)/1000)</f>
        <v/>
      </c>
      <c r="Q31" s="303" t="str">
        <f>IF(J31="","",_xlfn.XLOOKUP(H31,'Emission Factors'!$M:$M,'Emission Factors'!$W:$W))</f>
        <v/>
      </c>
      <c r="R31" s="104"/>
      <c r="S31" s="67"/>
      <c r="T31" s="204"/>
      <c r="U31" s="204"/>
      <c r="V31" s="205"/>
      <c r="W31" s="206"/>
      <c r="X31" s="205"/>
      <c r="Y31" s="207"/>
      <c r="Z31" s="204"/>
      <c r="AA31" s="67"/>
      <c r="AB31" s="67"/>
      <c r="AC31" s="67"/>
      <c r="AD31" s="151"/>
    </row>
    <row r="32" spans="1:30">
      <c r="B32" s="166"/>
      <c r="C32" s="173"/>
      <c r="D32" s="103"/>
      <c r="E32" s="146"/>
      <c r="F32" s="103"/>
      <c r="G32" s="103"/>
      <c r="H32" s="97" t="str">
        <f t="shared" si="4"/>
        <v/>
      </c>
      <c r="I32" s="143"/>
      <c r="J32" s="103"/>
      <c r="K32" s="97" t="str">
        <f t="shared" ref="K32:K72" si="6">IF(J32="","",J32)</f>
        <v/>
      </c>
      <c r="L32" s="303" t="str">
        <f>IF(J32="","",_xlfn.XLOOKUP(H32,'Emission Factors'!$M$404:$M$427,'Emission Factors'!$U$404:$U$427))</f>
        <v/>
      </c>
      <c r="M32" s="309" t="str">
        <f>IF(L32="","",INDEX(Conversions!$C$14:$D$15,MATCH(K32,Conversions!$B$14:$B$15,0),MATCH(L32,Conversions!$C$13:$D$13,0)))</f>
        <v/>
      </c>
      <c r="N32" s="309" t="str">
        <f>IF(J32="","",_xlfn.XLOOKUP(H32,'Emission Factors'!$M$404:$M$427,'Emission Factors'!$T$404:$T$427)*M32)</f>
        <v/>
      </c>
      <c r="O32" s="305" t="str">
        <f t="shared" ref="O32:O38" si="7">IF(J32="","","kgCO2e/"&amp;K32)</f>
        <v/>
      </c>
      <c r="P32" s="209" t="str">
        <f t="shared" si="5"/>
        <v/>
      </c>
      <c r="Q32" s="303" t="str">
        <f>IF(J32="","",_xlfn.XLOOKUP(H32,'Emission Factors'!$M:$M,'Emission Factors'!$W:$W))</f>
        <v/>
      </c>
      <c r="R32" s="104"/>
      <c r="S32" s="67"/>
      <c r="T32" s="204"/>
      <c r="U32" s="204"/>
      <c r="V32" s="205"/>
      <c r="W32" s="206"/>
      <c r="X32" s="205"/>
      <c r="Y32" s="207"/>
      <c r="Z32" s="204"/>
      <c r="AA32" s="67"/>
      <c r="AB32" s="67"/>
      <c r="AC32" s="67"/>
      <c r="AD32" s="151"/>
    </row>
    <row r="33" spans="2:30">
      <c r="B33" s="166"/>
      <c r="C33" s="173"/>
      <c r="D33" s="103"/>
      <c r="E33" s="146"/>
      <c r="F33" s="103"/>
      <c r="G33" s="103"/>
      <c r="H33" s="97" t="str">
        <f t="shared" si="4"/>
        <v/>
      </c>
      <c r="I33" s="148"/>
      <c r="J33" s="103"/>
      <c r="K33" s="97" t="str">
        <f t="shared" si="6"/>
        <v/>
      </c>
      <c r="L33" s="303" t="str">
        <f>IF(J33="","",_xlfn.XLOOKUP(H33,'Emission Factors'!$M$404:$M$427,'Emission Factors'!$U$404:$U$427))</f>
        <v/>
      </c>
      <c r="M33" s="309" t="str">
        <f>IF(L33="","",INDEX(Conversions!$C$14:$D$15,MATCH(K33,Conversions!$B$14:$B$15,0),MATCH(L33,Conversions!$C$13:$D$13,0)))</f>
        <v/>
      </c>
      <c r="N33" s="309" t="str">
        <f>IF(J33="","",_xlfn.XLOOKUP(H33,'Emission Factors'!$M$404:$M$427,'Emission Factors'!$T$404:$T$427)*M33)</f>
        <v/>
      </c>
      <c r="O33" s="305" t="str">
        <f t="shared" si="7"/>
        <v/>
      </c>
      <c r="P33" s="209" t="str">
        <f t="shared" si="5"/>
        <v/>
      </c>
      <c r="Q33" s="303" t="str">
        <f>IF(J33="","",_xlfn.XLOOKUP(H33,'Emission Factors'!$M:$M,'Emission Factors'!$W:$W))</f>
        <v/>
      </c>
      <c r="R33" s="104"/>
      <c r="S33" s="67"/>
      <c r="T33" s="204"/>
      <c r="U33" s="204"/>
      <c r="V33" s="205"/>
      <c r="W33" s="206"/>
      <c r="X33" s="205"/>
      <c r="Y33" s="207"/>
      <c r="Z33" s="204"/>
      <c r="AA33" s="67"/>
      <c r="AB33" s="67"/>
      <c r="AC33" s="67"/>
      <c r="AD33" s="151"/>
    </row>
    <row r="34" spans="2:30">
      <c r="B34" s="166"/>
      <c r="C34" s="173"/>
      <c r="D34" s="103"/>
      <c r="E34" s="146"/>
      <c r="F34" s="103"/>
      <c r="G34" s="103"/>
      <c r="H34" s="97" t="str">
        <f t="shared" si="4"/>
        <v/>
      </c>
      <c r="I34" s="148"/>
      <c r="J34" s="103"/>
      <c r="K34" s="97" t="str">
        <f t="shared" si="6"/>
        <v/>
      </c>
      <c r="L34" s="303" t="str">
        <f>IF(J34="","",_xlfn.XLOOKUP(H34,'Emission Factors'!$M$404:$M$427,'Emission Factors'!$U$404:$U$427))</f>
        <v/>
      </c>
      <c r="M34" s="309" t="str">
        <f>IF(L34="","",INDEX(Conversions!$C$14:$D$15,MATCH(K34,Conversions!$B$14:$B$15,0),MATCH(L34,Conversions!$C$13:$D$13,0)))</f>
        <v/>
      </c>
      <c r="N34" s="309" t="str">
        <f>IF(J34="","",_xlfn.XLOOKUP(H34,'Emission Factors'!$M$404:$M$427,'Emission Factors'!$T$404:$T$427)*M34)</f>
        <v/>
      </c>
      <c r="O34" s="305" t="str">
        <f t="shared" si="7"/>
        <v/>
      </c>
      <c r="P34" s="209" t="str">
        <f>IF(ISBLANK(I34)=TRUE,"",IF(ISBLANK(N34)=TRUE,"",I34*N34)/1000)</f>
        <v/>
      </c>
      <c r="Q34" s="303" t="str">
        <f>IF(J34="","",_xlfn.XLOOKUP(H34,'Emission Factors'!$M:$M,'Emission Factors'!$W:$W))</f>
        <v/>
      </c>
      <c r="R34" s="104"/>
      <c r="S34" s="67"/>
      <c r="T34" s="204"/>
      <c r="U34" s="204"/>
      <c r="V34" s="205"/>
      <c r="W34" s="206"/>
      <c r="X34" s="205"/>
      <c r="Y34" s="207"/>
      <c r="Z34" s="204"/>
      <c r="AA34" s="67"/>
      <c r="AB34" s="67"/>
      <c r="AC34" s="67"/>
      <c r="AD34" s="151"/>
    </row>
    <row r="35" spans="2:30">
      <c r="B35" s="166"/>
      <c r="C35" s="173"/>
      <c r="D35" s="103"/>
      <c r="E35" s="149"/>
      <c r="F35" s="103"/>
      <c r="G35" s="103"/>
      <c r="H35" s="97" t="str">
        <f t="shared" si="4"/>
        <v/>
      </c>
      <c r="I35" s="148"/>
      <c r="J35" s="103"/>
      <c r="K35" s="97" t="str">
        <f t="shared" si="6"/>
        <v/>
      </c>
      <c r="L35" s="303" t="str">
        <f>IF(J35="","",_xlfn.XLOOKUP(H35,'Emission Factors'!$M$404:$M$427,'Emission Factors'!$U$404:$U$427))</f>
        <v/>
      </c>
      <c r="M35" s="309" t="str">
        <f>IF(L35="","",INDEX(Conversions!$C$14:$D$15,MATCH(K35,Conversions!$B$14:$B$15,0),MATCH(L35,Conversions!$C$13:$D$13,0)))</f>
        <v/>
      </c>
      <c r="N35" s="309" t="str">
        <f>IF(J35="","",_xlfn.XLOOKUP(H35,'Emission Factors'!$M$404:$M$427,'Emission Factors'!$T$404:$T$427)*M35)</f>
        <v/>
      </c>
      <c r="O35" s="305" t="str">
        <f t="shared" si="7"/>
        <v/>
      </c>
      <c r="P35" s="209" t="str">
        <f t="shared" ref="P35:P72" si="8">IF(ISBLANK(I35)=TRUE,"",IF(ISBLANK(N35)=TRUE,"",I35*N35)/1000)</f>
        <v/>
      </c>
      <c r="Q35" s="303" t="str">
        <f>IF(J35="","",_xlfn.XLOOKUP(H35,'Emission Factors'!$M:$M,'Emission Factors'!$W:$W))</f>
        <v/>
      </c>
      <c r="R35" s="104"/>
      <c r="S35" s="67"/>
      <c r="T35" s="204"/>
      <c r="U35" s="204"/>
      <c r="V35" s="205"/>
      <c r="W35" s="206"/>
      <c r="X35" s="205"/>
      <c r="Y35" s="207"/>
      <c r="Z35" s="204"/>
      <c r="AA35" s="67"/>
      <c r="AB35" s="67"/>
      <c r="AC35" s="67"/>
      <c r="AD35" s="151"/>
    </row>
    <row r="36" spans="2:30">
      <c r="B36" s="166"/>
      <c r="C36" s="173"/>
      <c r="D36" s="103"/>
      <c r="E36" s="146"/>
      <c r="F36" s="103"/>
      <c r="G36" s="103"/>
      <c r="H36" s="97" t="str">
        <f t="shared" si="4"/>
        <v/>
      </c>
      <c r="I36" s="148"/>
      <c r="J36" s="103"/>
      <c r="K36" s="97" t="str">
        <f>IF(J36="","",J36)</f>
        <v/>
      </c>
      <c r="L36" s="303" t="str">
        <f>IF(J36="","",_xlfn.XLOOKUP(H36,'Emission Factors'!$M$404:$M$427,'Emission Factors'!$U$404:$U$427))</f>
        <v/>
      </c>
      <c r="M36" s="309" t="str">
        <f>IF(L36="","",INDEX(Conversions!$C$14:$D$15,MATCH(K36,Conversions!$B$14:$B$15,0),MATCH(L36,Conversions!$C$13:$D$13,0)))</f>
        <v/>
      </c>
      <c r="N36" s="309" t="str">
        <f>IF(J36="","",_xlfn.XLOOKUP(H36,'Emission Factors'!$M$404:$M$427,'Emission Factors'!$T$404:$T$427)*M36)</f>
        <v/>
      </c>
      <c r="O36" s="305" t="str">
        <f t="shared" si="7"/>
        <v/>
      </c>
      <c r="P36" s="209" t="str">
        <f t="shared" si="8"/>
        <v/>
      </c>
      <c r="Q36" s="303" t="str">
        <f>IF(J36="","",_xlfn.XLOOKUP(H36,'Emission Factors'!$M:$M,'Emission Factors'!$W:$W))</f>
        <v/>
      </c>
      <c r="R36" s="104"/>
      <c r="S36" s="67"/>
      <c r="T36" s="204"/>
      <c r="U36" s="204"/>
      <c r="V36" s="205"/>
      <c r="W36" s="206"/>
      <c r="X36" s="205"/>
      <c r="Y36" s="207"/>
      <c r="Z36" s="204"/>
      <c r="AA36" s="67"/>
      <c r="AB36" s="67"/>
      <c r="AC36" s="67"/>
      <c r="AD36" s="151"/>
    </row>
    <row r="37" spans="2:30">
      <c r="B37" s="166"/>
      <c r="C37" s="173"/>
      <c r="D37" s="103"/>
      <c r="E37" s="146"/>
      <c r="F37" s="103"/>
      <c r="G37" s="103"/>
      <c r="H37" s="97" t="str">
        <f t="shared" si="4"/>
        <v/>
      </c>
      <c r="I37" s="148"/>
      <c r="J37" s="103"/>
      <c r="K37" s="97" t="str">
        <f>IF(J37="","",J37)</f>
        <v/>
      </c>
      <c r="L37" s="303" t="str">
        <f>IF(J37="","",_xlfn.XLOOKUP(H37,'Emission Factors'!$M$404:$M$427,'Emission Factors'!$U$404:$U$427))</f>
        <v/>
      </c>
      <c r="M37" s="309" t="str">
        <f>IF(L37="","",INDEX(Conversions!$C$14:$D$15,MATCH(K37,Conversions!$B$14:$B$15,0),MATCH(L37,Conversions!$C$13:$D$13,0)))</f>
        <v/>
      </c>
      <c r="N37" s="309" t="str">
        <f>IF(J37="","",_xlfn.XLOOKUP(H37,'Emission Factors'!$M$404:$M$427,'Emission Factors'!$T$404:$T$427)*M37)</f>
        <v/>
      </c>
      <c r="O37" s="305" t="str">
        <f t="shared" si="7"/>
        <v/>
      </c>
      <c r="P37" s="209" t="str">
        <f t="shared" si="8"/>
        <v/>
      </c>
      <c r="Q37" s="303" t="str">
        <f>IF(J37="","",_xlfn.XLOOKUP(H37,'Emission Factors'!$M:$M,'Emission Factors'!$W:$W))</f>
        <v/>
      </c>
      <c r="R37" s="104"/>
      <c r="S37" s="67"/>
      <c r="T37" s="204"/>
      <c r="U37" s="204"/>
      <c r="V37" s="205"/>
      <c r="W37" s="206"/>
      <c r="X37" s="205"/>
      <c r="Y37" s="207"/>
      <c r="Z37" s="204"/>
      <c r="AA37" s="67"/>
      <c r="AB37" s="67"/>
      <c r="AC37" s="67"/>
      <c r="AD37" s="151"/>
    </row>
    <row r="38" spans="2:30">
      <c r="B38" s="166"/>
      <c r="C38" s="173"/>
      <c r="D38" s="103"/>
      <c r="E38" s="146"/>
      <c r="F38" s="103"/>
      <c r="G38" s="103"/>
      <c r="H38" s="97" t="str">
        <f t="shared" si="4"/>
        <v/>
      </c>
      <c r="I38" s="148"/>
      <c r="J38" s="103"/>
      <c r="K38" s="97" t="str">
        <f t="shared" si="6"/>
        <v/>
      </c>
      <c r="L38" s="303" t="str">
        <f>IF(J38="","",_xlfn.XLOOKUP(H38,'Emission Factors'!$M$404:$M$427,'Emission Factors'!$U$404:$U$427))</f>
        <v/>
      </c>
      <c r="M38" s="309" t="str">
        <f>IF(L38="","",INDEX(Conversions!$C$14:$D$15,MATCH(K38,Conversions!$B$14:$B$15,0),MATCH(L38,Conversions!$C$13:$D$13,0)))</f>
        <v/>
      </c>
      <c r="N38" s="309" t="str">
        <f>IF(J38="","",_xlfn.XLOOKUP(H38,'Emission Factors'!$M$404:$M$427,'Emission Factors'!$T$404:$T$427)*M38)</f>
        <v/>
      </c>
      <c r="O38" s="305" t="str">
        <f t="shared" si="7"/>
        <v/>
      </c>
      <c r="P38" s="209" t="str">
        <f t="shared" si="8"/>
        <v/>
      </c>
      <c r="Q38" s="303" t="str">
        <f>IF(J38="","",_xlfn.XLOOKUP(H38,'Emission Factors'!$M:$M,'Emission Factors'!$W:$W))</f>
        <v/>
      </c>
      <c r="R38" s="104"/>
      <c r="S38" s="67"/>
      <c r="T38" s="204"/>
      <c r="U38" s="204"/>
      <c r="V38" s="205"/>
      <c r="W38" s="206"/>
      <c r="X38" s="205"/>
      <c r="Y38" s="207"/>
      <c r="Z38" s="204"/>
      <c r="AA38" s="67"/>
      <c r="AB38" s="67"/>
      <c r="AC38" s="67"/>
      <c r="AD38" s="151"/>
    </row>
    <row r="39" spans="2:30">
      <c r="B39" s="166"/>
      <c r="C39" s="173"/>
      <c r="D39" s="103"/>
      <c r="E39" s="146"/>
      <c r="F39" s="103"/>
      <c r="G39" s="103"/>
      <c r="H39" s="97" t="str">
        <f t="shared" si="4"/>
        <v/>
      </c>
      <c r="I39" s="148"/>
      <c r="J39" s="103"/>
      <c r="K39" s="97" t="str">
        <f t="shared" si="6"/>
        <v/>
      </c>
      <c r="L39" s="303" t="str">
        <f>IF(J39="","",_xlfn.XLOOKUP(H39,'Emission Factors'!$M$404:$M$427,'Emission Factors'!$U$404:$U$427))</f>
        <v/>
      </c>
      <c r="M39" s="309" t="str">
        <f>IF(L39="","",INDEX(Conversions!$C$14:$D$15,MATCH(K39,Conversions!$B$14:$B$15,0),MATCH(L39,Conversions!$C$13:$D$13,0)))</f>
        <v/>
      </c>
      <c r="N39" s="309" t="str">
        <f>IF(J39="","",_xlfn.XLOOKUP(H39,'Emission Factors'!$M$404:$M$427,'Emission Factors'!$T$404:$T$427)*M39)</f>
        <v/>
      </c>
      <c r="O39" s="305" t="str">
        <f t="shared" ref="O39:O72" si="9">IF(J39="","","kgCO2e/"&amp;K39)</f>
        <v/>
      </c>
      <c r="P39" s="209" t="str">
        <f t="shared" si="8"/>
        <v/>
      </c>
      <c r="Q39" s="303" t="str">
        <f>IF(J39="","",_xlfn.XLOOKUP(H39,'Emission Factors'!$M:$M,'Emission Factors'!$W:$W))</f>
        <v/>
      </c>
      <c r="R39" s="104"/>
      <c r="S39" s="67"/>
      <c r="T39" s="204"/>
      <c r="U39" s="204"/>
      <c r="V39" s="205"/>
      <c r="W39" s="206"/>
      <c r="X39" s="205"/>
      <c r="Y39" s="207"/>
      <c r="Z39" s="204"/>
      <c r="AA39" s="67"/>
      <c r="AB39" s="67"/>
      <c r="AC39" s="67"/>
      <c r="AD39" s="151"/>
    </row>
    <row r="40" spans="2:30">
      <c r="B40" s="166"/>
      <c r="C40" s="173"/>
      <c r="D40" s="103"/>
      <c r="E40" s="146"/>
      <c r="F40" s="103"/>
      <c r="G40" s="103"/>
      <c r="H40" s="97" t="str">
        <f t="shared" si="4"/>
        <v/>
      </c>
      <c r="I40" s="148"/>
      <c r="J40" s="103"/>
      <c r="K40" s="97" t="str">
        <f t="shared" si="6"/>
        <v/>
      </c>
      <c r="L40" s="303" t="str">
        <f>IF(J40="","",_xlfn.XLOOKUP(H40,'Emission Factors'!$M$404:$M$427,'Emission Factors'!$U$404:$U$427))</f>
        <v/>
      </c>
      <c r="M40" s="309" t="str">
        <f>IF(L40="","",INDEX(Conversions!$C$14:$D$15,MATCH(K40,Conversions!$B$14:$B$15,0),MATCH(L40,Conversions!$C$13:$D$13,0)))</f>
        <v/>
      </c>
      <c r="N40" s="309" t="str">
        <f>IF(J40="","",_xlfn.XLOOKUP(H40,'Emission Factors'!$M$404:$M$427,'Emission Factors'!$T$404:$T$427)*M40)</f>
        <v/>
      </c>
      <c r="O40" s="305" t="str">
        <f t="shared" si="9"/>
        <v/>
      </c>
      <c r="P40" s="209" t="str">
        <f t="shared" si="8"/>
        <v/>
      </c>
      <c r="Q40" s="303" t="str">
        <f>IF(J40="","",_xlfn.XLOOKUP(H40,'Emission Factors'!$M:$M,'Emission Factors'!$W:$W))</f>
        <v/>
      </c>
      <c r="R40" s="104"/>
      <c r="S40" s="67"/>
      <c r="T40" s="204"/>
      <c r="U40" s="204"/>
      <c r="V40" s="205"/>
      <c r="W40" s="206"/>
      <c r="X40" s="205"/>
      <c r="Y40" s="207"/>
      <c r="Z40" s="204"/>
      <c r="AA40" s="67"/>
      <c r="AB40" s="67"/>
      <c r="AC40" s="67"/>
      <c r="AD40" s="151"/>
    </row>
    <row r="41" spans="2:30">
      <c r="B41" s="166"/>
      <c r="C41" s="173"/>
      <c r="D41" s="103"/>
      <c r="E41" s="146"/>
      <c r="F41" s="103"/>
      <c r="G41" s="103"/>
      <c r="H41" s="97" t="str">
        <f t="shared" si="4"/>
        <v/>
      </c>
      <c r="I41" s="148"/>
      <c r="J41" s="103"/>
      <c r="K41" s="97" t="str">
        <f t="shared" si="6"/>
        <v/>
      </c>
      <c r="L41" s="303" t="str">
        <f>IF(J41="","",_xlfn.XLOOKUP(H41,'Emission Factors'!$M$404:$M$427,'Emission Factors'!$U$404:$U$427))</f>
        <v/>
      </c>
      <c r="M41" s="309" t="str">
        <f>IF(L41="","",INDEX(Conversions!$C$14:$D$15,MATCH(K41,Conversions!$B$14:$B$15,0),MATCH(L41,Conversions!$C$13:$D$13,0)))</f>
        <v/>
      </c>
      <c r="N41" s="309" t="str">
        <f>IF(J41="","",_xlfn.XLOOKUP(H41,'Emission Factors'!$M$404:$M$427,'Emission Factors'!$T$404:$T$427)*M41)</f>
        <v/>
      </c>
      <c r="O41" s="305" t="str">
        <f t="shared" si="9"/>
        <v/>
      </c>
      <c r="P41" s="209" t="str">
        <f t="shared" si="8"/>
        <v/>
      </c>
      <c r="Q41" s="303" t="str">
        <f>IF(J41="","",_xlfn.XLOOKUP(H41,'Emission Factors'!$M:$M,'Emission Factors'!$W:$W))</f>
        <v/>
      </c>
      <c r="R41" s="104"/>
      <c r="S41" s="67"/>
      <c r="T41" s="204"/>
      <c r="U41" s="204"/>
      <c r="V41" s="205"/>
      <c r="W41" s="206"/>
      <c r="X41" s="205"/>
      <c r="Y41" s="207"/>
      <c r="Z41" s="204"/>
      <c r="AA41" s="67"/>
      <c r="AB41" s="67"/>
      <c r="AC41" s="67"/>
      <c r="AD41" s="151"/>
    </row>
    <row r="42" spans="2:30">
      <c r="B42" s="166"/>
      <c r="C42" s="173"/>
      <c r="D42" s="103"/>
      <c r="E42" s="146"/>
      <c r="F42" s="103"/>
      <c r="G42" s="103"/>
      <c r="H42" s="97" t="str">
        <f t="shared" si="4"/>
        <v/>
      </c>
      <c r="I42" s="148"/>
      <c r="J42" s="103"/>
      <c r="K42" s="97" t="str">
        <f t="shared" si="6"/>
        <v/>
      </c>
      <c r="L42" s="303" t="str">
        <f>IF(J42="","",_xlfn.XLOOKUP(H42,'Emission Factors'!$M$404:$M$427,'Emission Factors'!$U$404:$U$427))</f>
        <v/>
      </c>
      <c r="M42" s="309" t="str">
        <f>IF(L42="","",INDEX(Conversions!$C$14:$D$15,MATCH(K42,Conversions!$B$14:$B$15,0),MATCH(L42,Conversions!$C$13:$D$13,0)))</f>
        <v/>
      </c>
      <c r="N42" s="309" t="str">
        <f>IF(J42="","",_xlfn.XLOOKUP(H42,'Emission Factors'!$M$404:$M$427,'Emission Factors'!$T$404:$T$427)*M42)</f>
        <v/>
      </c>
      <c r="O42" s="305" t="str">
        <f t="shared" si="9"/>
        <v/>
      </c>
      <c r="P42" s="209" t="str">
        <f t="shared" si="8"/>
        <v/>
      </c>
      <c r="Q42" s="303" t="str">
        <f>IF(J42="","",_xlfn.XLOOKUP(H42,'Emission Factors'!$M:$M,'Emission Factors'!$W:$W))</f>
        <v/>
      </c>
      <c r="R42" s="104"/>
      <c r="S42" s="67"/>
      <c r="T42" s="204"/>
      <c r="U42" s="204"/>
      <c r="V42" s="205"/>
      <c r="W42" s="206"/>
      <c r="X42" s="205"/>
      <c r="Y42" s="207"/>
      <c r="Z42" s="204"/>
      <c r="AA42" s="67"/>
      <c r="AB42" s="67"/>
      <c r="AC42" s="67"/>
      <c r="AD42" s="151"/>
    </row>
    <row r="43" spans="2:30">
      <c r="B43" s="166"/>
      <c r="C43" s="173"/>
      <c r="D43" s="103"/>
      <c r="E43" s="146"/>
      <c r="F43" s="103"/>
      <c r="G43" s="103"/>
      <c r="H43" s="97" t="str">
        <f t="shared" si="4"/>
        <v/>
      </c>
      <c r="I43" s="148"/>
      <c r="J43" s="103"/>
      <c r="K43" s="97" t="str">
        <f t="shared" si="6"/>
        <v/>
      </c>
      <c r="L43" s="303" t="str">
        <f>IF(J43="","",_xlfn.XLOOKUP(H43,'Emission Factors'!$M$404:$M$427,'Emission Factors'!$U$404:$U$427))</f>
        <v/>
      </c>
      <c r="M43" s="309" t="str">
        <f>IF(L43="","",INDEX(Conversions!$C$14:$D$15,MATCH(K43,Conversions!$B$14:$B$15,0),MATCH(L43,Conversions!$C$13:$D$13,0)))</f>
        <v/>
      </c>
      <c r="N43" s="309" t="str">
        <f>IF(J43="","",_xlfn.XLOOKUP(H43,'Emission Factors'!$M$404:$M$427,'Emission Factors'!$T$404:$T$427)*M43)</f>
        <v/>
      </c>
      <c r="O43" s="305" t="str">
        <f t="shared" si="9"/>
        <v/>
      </c>
      <c r="P43" s="209" t="str">
        <f t="shared" si="8"/>
        <v/>
      </c>
      <c r="Q43" s="303" t="str">
        <f>IF(J43="","",_xlfn.XLOOKUP(H43,'Emission Factors'!$M:$M,'Emission Factors'!$W:$W))</f>
        <v/>
      </c>
      <c r="R43" s="104"/>
      <c r="S43" s="67"/>
      <c r="T43" s="204"/>
      <c r="U43" s="204"/>
      <c r="V43" s="205"/>
      <c r="W43" s="206"/>
      <c r="X43" s="205"/>
      <c r="Y43" s="207"/>
      <c r="Z43" s="204"/>
      <c r="AA43" s="67"/>
      <c r="AB43" s="67"/>
      <c r="AC43" s="67"/>
      <c r="AD43" s="151"/>
    </row>
    <row r="44" spans="2:30">
      <c r="B44" s="166"/>
      <c r="C44" s="173"/>
      <c r="D44" s="103"/>
      <c r="E44" s="146"/>
      <c r="F44" s="103"/>
      <c r="G44" s="103"/>
      <c r="H44" s="97" t="str">
        <f t="shared" si="4"/>
        <v/>
      </c>
      <c r="I44" s="148"/>
      <c r="J44" s="103"/>
      <c r="K44" s="97" t="str">
        <f t="shared" si="6"/>
        <v/>
      </c>
      <c r="L44" s="303" t="str">
        <f>IF(J44="","",_xlfn.XLOOKUP(H44,'Emission Factors'!$M$404:$M$427,'Emission Factors'!$U$404:$U$427))</f>
        <v/>
      </c>
      <c r="M44" s="309" t="str">
        <f>IF(L44="","",INDEX(Conversions!$C$14:$D$15,MATCH(K44,Conversions!$B$14:$B$15,0),MATCH(L44,Conversions!$C$13:$D$13,0)))</f>
        <v/>
      </c>
      <c r="N44" s="309" t="str">
        <f>IF(J44="","",_xlfn.XLOOKUP(H44,'Emission Factors'!$M$404:$M$427,'Emission Factors'!$T$404:$T$427)*M44)</f>
        <v/>
      </c>
      <c r="O44" s="305" t="str">
        <f t="shared" si="9"/>
        <v/>
      </c>
      <c r="P44" s="209" t="str">
        <f t="shared" si="8"/>
        <v/>
      </c>
      <c r="Q44" s="303" t="str">
        <f>IF(J44="","",_xlfn.XLOOKUP(H44,'Emission Factors'!$M:$M,'Emission Factors'!$W:$W))</f>
        <v/>
      </c>
      <c r="R44" s="104"/>
      <c r="S44" s="67"/>
      <c r="T44" s="204"/>
      <c r="U44" s="204"/>
      <c r="V44" s="205"/>
      <c r="W44" s="206"/>
      <c r="X44" s="205"/>
      <c r="Y44" s="207"/>
      <c r="Z44" s="204"/>
      <c r="AA44" s="67"/>
      <c r="AB44" s="67"/>
      <c r="AC44" s="67"/>
      <c r="AD44" s="151"/>
    </row>
    <row r="45" spans="2:30">
      <c r="B45" s="166"/>
      <c r="C45" s="173"/>
      <c r="D45" s="103"/>
      <c r="E45" s="146"/>
      <c r="F45" s="103"/>
      <c r="G45" s="103"/>
      <c r="H45" s="97" t="str">
        <f t="shared" si="4"/>
        <v/>
      </c>
      <c r="I45" s="148"/>
      <c r="J45" s="103"/>
      <c r="K45" s="97" t="str">
        <f t="shared" si="6"/>
        <v/>
      </c>
      <c r="L45" s="303" t="str">
        <f>IF(J45="","",_xlfn.XLOOKUP(H45,'Emission Factors'!$M$404:$M$427,'Emission Factors'!$U$404:$U$427))</f>
        <v/>
      </c>
      <c r="M45" s="309" t="str">
        <f>IF(L45="","",INDEX(Conversions!$C$14:$D$15,MATCH(K45,Conversions!$B$14:$B$15,0),MATCH(L45,Conversions!$C$13:$D$13,0)))</f>
        <v/>
      </c>
      <c r="N45" s="309" t="str">
        <f>IF(J45="","",_xlfn.XLOOKUP(H45,'Emission Factors'!$M$404:$M$427,'Emission Factors'!$T$404:$T$427)*M45)</f>
        <v/>
      </c>
      <c r="O45" s="305" t="str">
        <f t="shared" si="9"/>
        <v/>
      </c>
      <c r="P45" s="209" t="str">
        <f t="shared" si="8"/>
        <v/>
      </c>
      <c r="Q45" s="303" t="str">
        <f>IF(J45="","",_xlfn.XLOOKUP(H45,'Emission Factors'!$M:$M,'Emission Factors'!$W:$W))</f>
        <v/>
      </c>
      <c r="R45" s="104"/>
      <c r="S45" s="67"/>
      <c r="T45" s="204"/>
      <c r="U45" s="204"/>
      <c r="V45" s="205"/>
      <c r="W45" s="206"/>
      <c r="X45" s="205"/>
      <c r="Y45" s="207"/>
      <c r="Z45" s="204"/>
      <c r="AA45" s="67"/>
      <c r="AB45" s="67"/>
      <c r="AC45" s="67"/>
      <c r="AD45" s="151"/>
    </row>
    <row r="46" spans="2:30">
      <c r="B46" s="166"/>
      <c r="C46" s="173"/>
      <c r="D46" s="103"/>
      <c r="E46" s="146"/>
      <c r="F46" s="103"/>
      <c r="G46" s="103"/>
      <c r="H46" s="97" t="str">
        <f t="shared" si="4"/>
        <v/>
      </c>
      <c r="I46" s="148"/>
      <c r="J46" s="103"/>
      <c r="K46" s="97" t="str">
        <f t="shared" si="6"/>
        <v/>
      </c>
      <c r="L46" s="303" t="str">
        <f>IF(J46="","",_xlfn.XLOOKUP(H46,'Emission Factors'!$M$404:$M$427,'Emission Factors'!$U$404:$U$427))</f>
        <v/>
      </c>
      <c r="M46" s="309" t="str">
        <f>IF(L46="","",INDEX(Conversions!$C$14:$D$15,MATCH(K46,Conversions!$B$14:$B$15,0),MATCH(L46,Conversions!$C$13:$D$13,0)))</f>
        <v/>
      </c>
      <c r="N46" s="309" t="str">
        <f>IF(J46="","",_xlfn.XLOOKUP(H46,'Emission Factors'!$M$404:$M$427,'Emission Factors'!$T$404:$T$427)*M46)</f>
        <v/>
      </c>
      <c r="O46" s="305" t="str">
        <f t="shared" si="9"/>
        <v/>
      </c>
      <c r="P46" s="209" t="str">
        <f t="shared" si="8"/>
        <v/>
      </c>
      <c r="Q46" s="303" t="str">
        <f>IF(J46="","",_xlfn.XLOOKUP(H46,'Emission Factors'!$M:$M,'Emission Factors'!$W:$W))</f>
        <v/>
      </c>
      <c r="R46" s="104"/>
      <c r="S46" s="67"/>
      <c r="T46" s="204"/>
      <c r="U46" s="204"/>
      <c r="V46" s="205"/>
      <c r="W46" s="206"/>
      <c r="X46" s="205"/>
      <c r="Y46" s="207"/>
      <c r="Z46" s="204"/>
      <c r="AA46" s="67"/>
      <c r="AB46" s="67"/>
      <c r="AC46" s="67"/>
      <c r="AD46" s="151"/>
    </row>
    <row r="47" spans="2:30">
      <c r="B47" s="166"/>
      <c r="C47" s="173"/>
      <c r="D47" s="103"/>
      <c r="E47" s="146"/>
      <c r="F47" s="103"/>
      <c r="G47" s="103"/>
      <c r="H47" s="97" t="str">
        <f t="shared" si="4"/>
        <v/>
      </c>
      <c r="I47" s="148"/>
      <c r="J47" s="103"/>
      <c r="K47" s="97" t="str">
        <f t="shared" si="6"/>
        <v/>
      </c>
      <c r="L47" s="303" t="str">
        <f>IF(J47="","",_xlfn.XLOOKUP(H47,'Emission Factors'!$M$404:$M$427,'Emission Factors'!$U$404:$U$427))</f>
        <v/>
      </c>
      <c r="M47" s="309" t="str">
        <f>IF(L47="","",INDEX(Conversions!$C$14:$D$15,MATCH(K47,Conversions!$B$14:$B$15,0),MATCH(L47,Conversions!$C$13:$D$13,0)))</f>
        <v/>
      </c>
      <c r="N47" s="309" t="str">
        <f>IF(J47="","",_xlfn.XLOOKUP(H47,'Emission Factors'!$M$404:$M$427,'Emission Factors'!$T$404:$T$427)*M47)</f>
        <v/>
      </c>
      <c r="O47" s="305" t="str">
        <f t="shared" si="9"/>
        <v/>
      </c>
      <c r="P47" s="209" t="str">
        <f t="shared" si="8"/>
        <v/>
      </c>
      <c r="Q47" s="303" t="str">
        <f>IF(J47="","",_xlfn.XLOOKUP(H47,'Emission Factors'!$M:$M,'Emission Factors'!$W:$W))</f>
        <v/>
      </c>
      <c r="R47" s="104"/>
      <c r="S47" s="67"/>
      <c r="T47" s="204"/>
      <c r="U47" s="204"/>
      <c r="V47" s="205"/>
      <c r="W47" s="206"/>
      <c r="X47" s="205"/>
      <c r="Y47" s="207"/>
      <c r="Z47" s="204"/>
      <c r="AA47" s="67"/>
      <c r="AB47" s="67"/>
      <c r="AC47" s="67"/>
      <c r="AD47" s="151"/>
    </row>
    <row r="48" spans="2:30">
      <c r="B48" s="166"/>
      <c r="C48" s="173"/>
      <c r="D48" s="103"/>
      <c r="E48" s="146"/>
      <c r="F48" s="103"/>
      <c r="G48" s="103"/>
      <c r="H48" s="97" t="str">
        <f t="shared" si="4"/>
        <v/>
      </c>
      <c r="I48" s="148"/>
      <c r="J48" s="103"/>
      <c r="K48" s="97" t="str">
        <f t="shared" si="6"/>
        <v/>
      </c>
      <c r="L48" s="303" t="str">
        <f>IF(J48="","",_xlfn.XLOOKUP(H48,'Emission Factors'!$M$404:$M$427,'Emission Factors'!$U$404:$U$427))</f>
        <v/>
      </c>
      <c r="M48" s="309" t="str">
        <f>IF(L48="","",INDEX(Conversions!$C$14:$D$15,MATCH(K48,Conversions!$B$14:$B$15,0),MATCH(L48,Conversions!$C$13:$D$13,0)))</f>
        <v/>
      </c>
      <c r="N48" s="309" t="str">
        <f>IF(J48="","",_xlfn.XLOOKUP(H48,'Emission Factors'!$M$404:$M$427,'Emission Factors'!$T$404:$T$427)*M48)</f>
        <v/>
      </c>
      <c r="O48" s="305" t="str">
        <f t="shared" si="9"/>
        <v/>
      </c>
      <c r="P48" s="209" t="str">
        <f t="shared" si="8"/>
        <v/>
      </c>
      <c r="Q48" s="303" t="str">
        <f>IF(J48="","",_xlfn.XLOOKUP(H48,'Emission Factors'!$M:$M,'Emission Factors'!$W:$W))</f>
        <v/>
      </c>
      <c r="R48" s="104"/>
      <c r="S48" s="67"/>
      <c r="T48" s="204"/>
      <c r="U48" s="204"/>
      <c r="V48" s="205"/>
      <c r="W48" s="206"/>
      <c r="X48" s="205"/>
      <c r="Y48" s="207"/>
      <c r="Z48" s="204"/>
      <c r="AA48" s="67"/>
      <c r="AB48" s="67"/>
      <c r="AC48" s="67"/>
      <c r="AD48" s="151"/>
    </row>
    <row r="49" spans="2:30">
      <c r="B49" s="166"/>
      <c r="C49" s="173"/>
      <c r="D49" s="103"/>
      <c r="E49" s="146"/>
      <c r="F49" s="103"/>
      <c r="G49" s="103"/>
      <c r="H49" s="97" t="str">
        <f t="shared" si="4"/>
        <v/>
      </c>
      <c r="I49" s="148"/>
      <c r="J49" s="103"/>
      <c r="K49" s="97" t="str">
        <f t="shared" si="6"/>
        <v/>
      </c>
      <c r="L49" s="303" t="str">
        <f>IF(J49="","",_xlfn.XLOOKUP(H49,'Emission Factors'!$M$404:$M$427,'Emission Factors'!$U$404:$U$427))</f>
        <v/>
      </c>
      <c r="M49" s="309" t="str">
        <f>IF(L49="","",INDEX(Conversions!$C$14:$D$15,MATCH(K49,Conversions!$B$14:$B$15,0),MATCH(L49,Conversions!$C$13:$D$13,0)))</f>
        <v/>
      </c>
      <c r="N49" s="309" t="str">
        <f>IF(J49="","",_xlfn.XLOOKUP(H49,'Emission Factors'!$M$404:$M$427,'Emission Factors'!$T$404:$T$427)*M49)</f>
        <v/>
      </c>
      <c r="O49" s="305" t="str">
        <f t="shared" si="9"/>
        <v/>
      </c>
      <c r="P49" s="209" t="str">
        <f t="shared" si="8"/>
        <v/>
      </c>
      <c r="Q49" s="303" t="str">
        <f>IF(J49="","",_xlfn.XLOOKUP(H49,'Emission Factors'!$M:$M,'Emission Factors'!$W:$W))</f>
        <v/>
      </c>
      <c r="R49" s="104"/>
      <c r="S49" s="67"/>
      <c r="T49" s="204"/>
      <c r="U49" s="204"/>
      <c r="V49" s="205"/>
      <c r="W49" s="206"/>
      <c r="X49" s="205"/>
      <c r="Y49" s="207"/>
      <c r="Z49" s="204"/>
      <c r="AA49" s="67"/>
      <c r="AB49" s="67"/>
      <c r="AC49" s="67"/>
      <c r="AD49" s="151"/>
    </row>
    <row r="50" spans="2:30">
      <c r="B50" s="166"/>
      <c r="C50" s="173"/>
      <c r="D50" s="103"/>
      <c r="E50" s="146"/>
      <c r="F50" s="103"/>
      <c r="G50" s="103"/>
      <c r="H50" s="97" t="str">
        <f t="shared" si="4"/>
        <v/>
      </c>
      <c r="I50" s="148"/>
      <c r="J50" s="103"/>
      <c r="K50" s="97" t="str">
        <f t="shared" si="6"/>
        <v/>
      </c>
      <c r="L50" s="303" t="str">
        <f>IF(J50="","",_xlfn.XLOOKUP(H50,'Emission Factors'!$M$404:$M$427,'Emission Factors'!$U$404:$U$427))</f>
        <v/>
      </c>
      <c r="M50" s="309" t="str">
        <f>IF(L50="","",INDEX(Conversions!$C$14:$D$15,MATCH(K50,Conversions!$B$14:$B$15,0),MATCH(L50,Conversions!$C$13:$D$13,0)))</f>
        <v/>
      </c>
      <c r="N50" s="309" t="str">
        <f>IF(J50="","",_xlfn.XLOOKUP(H50,'Emission Factors'!$M$404:$M$427,'Emission Factors'!$T$404:$T$427)*M50)</f>
        <v/>
      </c>
      <c r="O50" s="305" t="str">
        <f t="shared" si="9"/>
        <v/>
      </c>
      <c r="P50" s="209" t="str">
        <f t="shared" si="8"/>
        <v/>
      </c>
      <c r="Q50" s="303" t="str">
        <f>IF(J50="","",_xlfn.XLOOKUP(H50,'Emission Factors'!$M:$M,'Emission Factors'!$W:$W))</f>
        <v/>
      </c>
      <c r="R50" s="104"/>
      <c r="S50" s="67"/>
      <c r="T50" s="204"/>
      <c r="U50" s="204"/>
      <c r="V50" s="205"/>
      <c r="W50" s="206"/>
      <c r="X50" s="205"/>
      <c r="Y50" s="207"/>
      <c r="Z50" s="204"/>
      <c r="AA50" s="67"/>
      <c r="AB50" s="67"/>
      <c r="AC50" s="67"/>
      <c r="AD50" s="151"/>
    </row>
    <row r="51" spans="2:30">
      <c r="B51" s="166"/>
      <c r="C51" s="173"/>
      <c r="D51" s="103"/>
      <c r="E51" s="146"/>
      <c r="F51" s="103"/>
      <c r="G51" s="103"/>
      <c r="H51" s="97" t="str">
        <f t="shared" si="4"/>
        <v/>
      </c>
      <c r="I51" s="148"/>
      <c r="J51" s="103"/>
      <c r="K51" s="97" t="str">
        <f t="shared" si="6"/>
        <v/>
      </c>
      <c r="L51" s="303" t="str">
        <f>IF(J51="","",_xlfn.XLOOKUP(H51,'Emission Factors'!$M$404:$M$427,'Emission Factors'!$U$404:$U$427))</f>
        <v/>
      </c>
      <c r="M51" s="309" t="str">
        <f>IF(L51="","",INDEX(Conversions!$C$14:$D$15,MATCH(K51,Conversions!$B$14:$B$15,0),MATCH(L51,Conversions!$C$13:$D$13,0)))</f>
        <v/>
      </c>
      <c r="N51" s="309" t="str">
        <f>IF(J51="","",_xlfn.XLOOKUP(H51,'Emission Factors'!$M$404:$M$427,'Emission Factors'!$T$404:$T$427)*M51)</f>
        <v/>
      </c>
      <c r="O51" s="305" t="str">
        <f t="shared" si="9"/>
        <v/>
      </c>
      <c r="P51" s="209" t="str">
        <f t="shared" si="8"/>
        <v/>
      </c>
      <c r="Q51" s="303" t="str">
        <f>IF(J51="","",_xlfn.XLOOKUP(H51,'Emission Factors'!$M:$M,'Emission Factors'!$W:$W))</f>
        <v/>
      </c>
      <c r="R51" s="104"/>
      <c r="S51" s="67"/>
      <c r="T51" s="204"/>
      <c r="U51" s="204"/>
      <c r="V51" s="205"/>
      <c r="W51" s="206"/>
      <c r="X51" s="205"/>
      <c r="Y51" s="207"/>
      <c r="Z51" s="204"/>
      <c r="AA51" s="67"/>
      <c r="AB51" s="67"/>
      <c r="AC51" s="67"/>
      <c r="AD51" s="151"/>
    </row>
    <row r="52" spans="2:30">
      <c r="B52" s="166"/>
      <c r="C52" s="173"/>
      <c r="D52" s="103"/>
      <c r="E52" s="146"/>
      <c r="F52" s="103"/>
      <c r="G52" s="103"/>
      <c r="H52" s="97" t="str">
        <f t="shared" si="4"/>
        <v/>
      </c>
      <c r="I52" s="148"/>
      <c r="J52" s="103"/>
      <c r="K52" s="97" t="str">
        <f t="shared" si="6"/>
        <v/>
      </c>
      <c r="L52" s="303" t="str">
        <f>IF(J52="","",_xlfn.XLOOKUP(H52,'Emission Factors'!$M$404:$M$427,'Emission Factors'!$U$404:$U$427))</f>
        <v/>
      </c>
      <c r="M52" s="309" t="str">
        <f>IF(L52="","",INDEX(Conversions!$C$14:$D$15,MATCH(K52,Conversions!$B$14:$B$15,0),MATCH(L52,Conversions!$C$13:$D$13,0)))</f>
        <v/>
      </c>
      <c r="N52" s="309" t="str">
        <f>IF(J52="","",_xlfn.XLOOKUP(H52,'Emission Factors'!$M$404:$M$427,'Emission Factors'!$T$404:$T$427)*M52)</f>
        <v/>
      </c>
      <c r="O52" s="305" t="str">
        <f t="shared" si="9"/>
        <v/>
      </c>
      <c r="P52" s="209" t="str">
        <f t="shared" si="8"/>
        <v/>
      </c>
      <c r="Q52" s="303" t="str">
        <f>IF(J52="","",_xlfn.XLOOKUP(H52,'Emission Factors'!$M:$M,'Emission Factors'!$W:$W))</f>
        <v/>
      </c>
      <c r="R52" s="104"/>
      <c r="S52" s="67"/>
      <c r="T52" s="204"/>
      <c r="U52" s="204"/>
      <c r="V52" s="205"/>
      <c r="W52" s="206"/>
      <c r="X52" s="205"/>
      <c r="Y52" s="207"/>
      <c r="Z52" s="204"/>
      <c r="AA52" s="67"/>
      <c r="AB52" s="67"/>
      <c r="AC52" s="67"/>
      <c r="AD52" s="151"/>
    </row>
    <row r="53" spans="2:30">
      <c r="B53" s="166"/>
      <c r="C53" s="173"/>
      <c r="D53" s="103"/>
      <c r="E53" s="146"/>
      <c r="F53" s="103"/>
      <c r="G53" s="103"/>
      <c r="H53" s="97" t="str">
        <f t="shared" si="4"/>
        <v/>
      </c>
      <c r="I53" s="148"/>
      <c r="J53" s="103"/>
      <c r="K53" s="97" t="str">
        <f t="shared" si="6"/>
        <v/>
      </c>
      <c r="L53" s="303" t="str">
        <f>IF(J53="","",_xlfn.XLOOKUP(H53,'Emission Factors'!$M$404:$M$427,'Emission Factors'!$U$404:$U$427))</f>
        <v/>
      </c>
      <c r="M53" s="309" t="str">
        <f>IF(L53="","",INDEX(Conversions!$C$14:$D$15,MATCH(K53,Conversions!$B$14:$B$15,0),MATCH(L53,Conversions!$C$13:$D$13,0)))</f>
        <v/>
      </c>
      <c r="N53" s="309" t="str">
        <f>IF(J53="","",_xlfn.XLOOKUP(H53,'Emission Factors'!$M$404:$M$427,'Emission Factors'!$T$404:$T$427)*M53)</f>
        <v/>
      </c>
      <c r="O53" s="305" t="str">
        <f t="shared" si="9"/>
        <v/>
      </c>
      <c r="P53" s="209" t="str">
        <f t="shared" si="8"/>
        <v/>
      </c>
      <c r="Q53" s="303" t="str">
        <f>IF(J53="","",_xlfn.XLOOKUP(H53,'Emission Factors'!$M:$M,'Emission Factors'!$W:$W))</f>
        <v/>
      </c>
      <c r="R53" s="104"/>
      <c r="S53" s="67"/>
      <c r="T53" s="204"/>
      <c r="U53" s="204"/>
      <c r="V53" s="205"/>
      <c r="W53" s="206"/>
      <c r="X53" s="205"/>
      <c r="Y53" s="207"/>
      <c r="Z53" s="204"/>
      <c r="AA53" s="67"/>
      <c r="AB53" s="67"/>
      <c r="AC53" s="67"/>
      <c r="AD53" s="151"/>
    </row>
    <row r="54" spans="2:30">
      <c r="B54" s="166"/>
      <c r="C54" s="173"/>
      <c r="D54" s="103"/>
      <c r="E54" s="146"/>
      <c r="F54" s="103"/>
      <c r="G54" s="103"/>
      <c r="H54" s="97" t="str">
        <f t="shared" si="4"/>
        <v/>
      </c>
      <c r="I54" s="148"/>
      <c r="J54" s="103"/>
      <c r="K54" s="97" t="str">
        <f t="shared" si="6"/>
        <v/>
      </c>
      <c r="L54" s="303" t="str">
        <f>IF(J54="","",_xlfn.XLOOKUP(H54,'Emission Factors'!$M$404:$M$427,'Emission Factors'!$U$404:$U$427))</f>
        <v/>
      </c>
      <c r="M54" s="309" t="str">
        <f>IF(L54="","",INDEX(Conversions!$C$14:$D$15,MATCH(K54,Conversions!$B$14:$B$15,0),MATCH(L54,Conversions!$C$13:$D$13,0)))</f>
        <v/>
      </c>
      <c r="N54" s="309" t="str">
        <f>IF(J54="","",_xlfn.XLOOKUP(H54,'Emission Factors'!$M$404:$M$427,'Emission Factors'!$T$404:$T$427)*M54)</f>
        <v/>
      </c>
      <c r="O54" s="305" t="str">
        <f t="shared" si="9"/>
        <v/>
      </c>
      <c r="P54" s="209" t="str">
        <f t="shared" si="8"/>
        <v/>
      </c>
      <c r="Q54" s="303" t="str">
        <f>IF(J54="","",_xlfn.XLOOKUP(H54,'Emission Factors'!$M:$M,'Emission Factors'!$W:$W))</f>
        <v/>
      </c>
      <c r="R54" s="104"/>
      <c r="S54" s="67"/>
      <c r="T54" s="204"/>
      <c r="U54" s="204"/>
      <c r="V54" s="205"/>
      <c r="W54" s="206"/>
      <c r="X54" s="205"/>
      <c r="Y54" s="207"/>
      <c r="Z54" s="204"/>
      <c r="AA54" s="67"/>
      <c r="AB54" s="67"/>
      <c r="AC54" s="67"/>
      <c r="AD54" s="151"/>
    </row>
    <row r="55" spans="2:30">
      <c r="B55" s="166"/>
      <c r="C55" s="173"/>
      <c r="D55" s="103"/>
      <c r="E55" s="146"/>
      <c r="F55" s="103"/>
      <c r="G55" s="103"/>
      <c r="H55" s="97" t="str">
        <f t="shared" si="4"/>
        <v/>
      </c>
      <c r="I55" s="148"/>
      <c r="J55" s="103"/>
      <c r="K55" s="97" t="str">
        <f t="shared" si="6"/>
        <v/>
      </c>
      <c r="L55" s="303" t="str">
        <f>IF(J55="","",_xlfn.XLOOKUP(H55,'Emission Factors'!$M$404:$M$427,'Emission Factors'!$U$404:$U$427))</f>
        <v/>
      </c>
      <c r="M55" s="309" t="str">
        <f>IF(L55="","",INDEX(Conversions!$C$14:$D$15,MATCH(K55,Conversions!$B$14:$B$15,0),MATCH(L55,Conversions!$C$13:$D$13,0)))</f>
        <v/>
      </c>
      <c r="N55" s="309" t="str">
        <f>IF(J55="","",_xlfn.XLOOKUP(H55,'Emission Factors'!$M$404:$M$427,'Emission Factors'!$T$404:$T$427)*M55)</f>
        <v/>
      </c>
      <c r="O55" s="305" t="str">
        <f t="shared" si="9"/>
        <v/>
      </c>
      <c r="P55" s="209" t="str">
        <f t="shared" si="8"/>
        <v/>
      </c>
      <c r="Q55" s="303" t="str">
        <f>IF(J55="","",_xlfn.XLOOKUP(H55,'Emission Factors'!$M:$M,'Emission Factors'!$W:$W))</f>
        <v/>
      </c>
      <c r="R55" s="104"/>
      <c r="S55" s="67"/>
      <c r="T55" s="204"/>
      <c r="U55" s="204"/>
      <c r="V55" s="205"/>
      <c r="W55" s="206"/>
      <c r="X55" s="205"/>
      <c r="Y55" s="207"/>
      <c r="Z55" s="204"/>
      <c r="AA55" s="67"/>
      <c r="AB55" s="67"/>
      <c r="AC55" s="67"/>
      <c r="AD55" s="151"/>
    </row>
    <row r="56" spans="2:30">
      <c r="B56" s="166"/>
      <c r="C56" s="173"/>
      <c r="D56" s="103"/>
      <c r="E56" s="146"/>
      <c r="F56" s="103"/>
      <c r="G56" s="103"/>
      <c r="H56" s="97" t="str">
        <f t="shared" si="4"/>
        <v/>
      </c>
      <c r="I56" s="148"/>
      <c r="J56" s="103"/>
      <c r="K56" s="97" t="str">
        <f t="shared" si="6"/>
        <v/>
      </c>
      <c r="L56" s="303" t="str">
        <f>IF(J56="","",_xlfn.XLOOKUP(H56,'Emission Factors'!$M$404:$M$427,'Emission Factors'!$U$404:$U$427))</f>
        <v/>
      </c>
      <c r="M56" s="309" t="str">
        <f>IF(L56="","",INDEX(Conversions!$C$14:$D$15,MATCH(K56,Conversions!$B$14:$B$15,0),MATCH(L56,Conversions!$C$13:$D$13,0)))</f>
        <v/>
      </c>
      <c r="N56" s="309" t="str">
        <f>IF(J56="","",_xlfn.XLOOKUP(H56,'Emission Factors'!$M$404:$M$427,'Emission Factors'!$T$404:$T$427)*M56)</f>
        <v/>
      </c>
      <c r="O56" s="305" t="str">
        <f t="shared" si="9"/>
        <v/>
      </c>
      <c r="P56" s="209" t="str">
        <f t="shared" si="8"/>
        <v/>
      </c>
      <c r="Q56" s="303" t="str">
        <f>IF(J56="","",_xlfn.XLOOKUP(H56,'Emission Factors'!$M:$M,'Emission Factors'!$W:$W))</f>
        <v/>
      </c>
      <c r="R56" s="104"/>
      <c r="S56" s="67"/>
      <c r="T56" s="204"/>
      <c r="U56" s="204"/>
      <c r="V56" s="205"/>
      <c r="W56" s="206"/>
      <c r="X56" s="205"/>
      <c r="Y56" s="207"/>
      <c r="Z56" s="204"/>
      <c r="AA56" s="67"/>
      <c r="AB56" s="67"/>
      <c r="AC56" s="67"/>
      <c r="AD56" s="151"/>
    </row>
    <row r="57" spans="2:30">
      <c r="B57" s="166"/>
      <c r="C57" s="173"/>
      <c r="D57" s="103"/>
      <c r="E57" s="146"/>
      <c r="F57" s="103"/>
      <c r="G57" s="103"/>
      <c r="H57" s="97" t="str">
        <f t="shared" si="4"/>
        <v/>
      </c>
      <c r="I57" s="148"/>
      <c r="J57" s="103"/>
      <c r="K57" s="97" t="str">
        <f t="shared" si="6"/>
        <v/>
      </c>
      <c r="L57" s="303" t="str">
        <f>IF(J57="","",_xlfn.XLOOKUP(H57,'Emission Factors'!$M$404:$M$427,'Emission Factors'!$U$404:$U$427))</f>
        <v/>
      </c>
      <c r="M57" s="309" t="str">
        <f>IF(L57="","",INDEX(Conversions!$C$14:$D$15,MATCH(K57,Conversions!$B$14:$B$15,0),MATCH(L57,Conversions!$C$13:$D$13,0)))</f>
        <v/>
      </c>
      <c r="N57" s="309" t="str">
        <f>IF(J57="","",_xlfn.XLOOKUP(H57,'Emission Factors'!$M$404:$M$427,'Emission Factors'!$T$404:$T$427)*M57)</f>
        <v/>
      </c>
      <c r="O57" s="305" t="str">
        <f t="shared" si="9"/>
        <v/>
      </c>
      <c r="P57" s="209" t="str">
        <f t="shared" si="8"/>
        <v/>
      </c>
      <c r="Q57" s="303" t="str">
        <f>IF(J57="","",_xlfn.XLOOKUP(H57,'Emission Factors'!$M:$M,'Emission Factors'!$W:$W))</f>
        <v/>
      </c>
      <c r="R57" s="104"/>
      <c r="S57" s="67"/>
      <c r="T57" s="204"/>
      <c r="U57" s="204"/>
      <c r="V57" s="205"/>
      <c r="W57" s="206"/>
      <c r="X57" s="205"/>
      <c r="Y57" s="207"/>
      <c r="Z57" s="204"/>
      <c r="AA57" s="67"/>
      <c r="AB57" s="67"/>
      <c r="AC57" s="67"/>
      <c r="AD57" s="151"/>
    </row>
    <row r="58" spans="2:30">
      <c r="B58" s="166"/>
      <c r="C58" s="173"/>
      <c r="D58" s="103"/>
      <c r="E58" s="146"/>
      <c r="F58" s="103"/>
      <c r="G58" s="103"/>
      <c r="H58" s="97" t="str">
        <f t="shared" si="4"/>
        <v/>
      </c>
      <c r="I58" s="148"/>
      <c r="J58" s="103"/>
      <c r="K58" s="97" t="str">
        <f t="shared" si="6"/>
        <v/>
      </c>
      <c r="L58" s="303" t="str">
        <f>IF(J58="","",_xlfn.XLOOKUP(H58,'Emission Factors'!$M$404:$M$427,'Emission Factors'!$U$404:$U$427))</f>
        <v/>
      </c>
      <c r="M58" s="309" t="str">
        <f>IF(L58="","",INDEX(Conversions!$C$14:$D$15,MATCH(K58,Conversions!$B$14:$B$15,0),MATCH(L58,Conversions!$C$13:$D$13,0)))</f>
        <v/>
      </c>
      <c r="N58" s="309" t="str">
        <f>IF(J58="","",_xlfn.XLOOKUP(H58,'Emission Factors'!$M$404:$M$427,'Emission Factors'!$T$404:$T$427)*M58)</f>
        <v/>
      </c>
      <c r="O58" s="305" t="str">
        <f t="shared" si="9"/>
        <v/>
      </c>
      <c r="P58" s="209" t="str">
        <f t="shared" si="8"/>
        <v/>
      </c>
      <c r="Q58" s="303" t="str">
        <f>IF(J58="","",_xlfn.XLOOKUP(H58,'Emission Factors'!$M:$M,'Emission Factors'!$W:$W))</f>
        <v/>
      </c>
      <c r="R58" s="104"/>
      <c r="S58" s="67"/>
      <c r="T58" s="204"/>
      <c r="U58" s="204"/>
      <c r="V58" s="205"/>
      <c r="W58" s="206"/>
      <c r="X58" s="205"/>
      <c r="Y58" s="207"/>
      <c r="Z58" s="204"/>
      <c r="AA58" s="67"/>
      <c r="AB58" s="67"/>
      <c r="AC58" s="67"/>
      <c r="AD58" s="151"/>
    </row>
    <row r="59" spans="2:30">
      <c r="B59" s="166"/>
      <c r="C59" s="173"/>
      <c r="D59" s="103"/>
      <c r="E59" s="146"/>
      <c r="F59" s="103"/>
      <c r="G59" s="103"/>
      <c r="H59" s="97" t="str">
        <f t="shared" si="4"/>
        <v/>
      </c>
      <c r="I59" s="148"/>
      <c r="J59" s="103"/>
      <c r="K59" s="97" t="str">
        <f t="shared" si="6"/>
        <v/>
      </c>
      <c r="L59" s="303" t="str">
        <f>IF(J59="","",_xlfn.XLOOKUP(H59,'Emission Factors'!$M$404:$M$427,'Emission Factors'!$U$404:$U$427))</f>
        <v/>
      </c>
      <c r="M59" s="309" t="str">
        <f>IF(L59="","",INDEX(Conversions!$C$14:$D$15,MATCH(K59,Conversions!$B$14:$B$15,0),MATCH(L59,Conversions!$C$13:$D$13,0)))</f>
        <v/>
      </c>
      <c r="N59" s="309" t="str">
        <f>IF(J59="","",_xlfn.XLOOKUP(H59,'Emission Factors'!$M$404:$M$427,'Emission Factors'!$T$404:$T$427)*M59)</f>
        <v/>
      </c>
      <c r="O59" s="305" t="str">
        <f t="shared" si="9"/>
        <v/>
      </c>
      <c r="P59" s="209" t="str">
        <f t="shared" si="8"/>
        <v/>
      </c>
      <c r="Q59" s="303" t="str">
        <f>IF(J59="","",_xlfn.XLOOKUP(H59,'Emission Factors'!$M:$M,'Emission Factors'!$W:$W))</f>
        <v/>
      </c>
      <c r="R59" s="104"/>
      <c r="S59" s="67"/>
      <c r="T59" s="204"/>
      <c r="U59" s="204"/>
      <c r="V59" s="205"/>
      <c r="W59" s="206"/>
      <c r="X59" s="205"/>
      <c r="Y59" s="207"/>
      <c r="Z59" s="204"/>
      <c r="AA59" s="67"/>
      <c r="AB59" s="67"/>
      <c r="AC59" s="67"/>
      <c r="AD59" s="151"/>
    </row>
    <row r="60" spans="2:30">
      <c r="B60" s="166"/>
      <c r="C60" s="173"/>
      <c r="D60" s="103"/>
      <c r="E60" s="146"/>
      <c r="F60" s="103"/>
      <c r="G60" s="103"/>
      <c r="H60" s="97" t="str">
        <f t="shared" si="4"/>
        <v/>
      </c>
      <c r="I60" s="148"/>
      <c r="J60" s="103"/>
      <c r="K60" s="97" t="str">
        <f t="shared" si="6"/>
        <v/>
      </c>
      <c r="L60" s="303" t="str">
        <f>IF(J60="","",_xlfn.XLOOKUP(H60,'Emission Factors'!$M$404:$M$427,'Emission Factors'!$U$404:$U$427))</f>
        <v/>
      </c>
      <c r="M60" s="309" t="str">
        <f>IF(L60="","",INDEX(Conversions!$C$14:$D$15,MATCH(K60,Conversions!$B$14:$B$15,0),MATCH(L60,Conversions!$C$13:$D$13,0)))</f>
        <v/>
      </c>
      <c r="N60" s="309" t="str">
        <f>IF(J60="","",_xlfn.XLOOKUP(H60,'Emission Factors'!$M$404:$M$427,'Emission Factors'!$T$404:$T$427)*M60)</f>
        <v/>
      </c>
      <c r="O60" s="305" t="str">
        <f t="shared" si="9"/>
        <v/>
      </c>
      <c r="P60" s="209" t="str">
        <f t="shared" si="8"/>
        <v/>
      </c>
      <c r="Q60" s="303" t="str">
        <f>IF(J60="","",_xlfn.XLOOKUP(H60,'Emission Factors'!$M:$M,'Emission Factors'!$W:$W))</f>
        <v/>
      </c>
      <c r="R60" s="104"/>
      <c r="S60" s="67"/>
      <c r="T60" s="204"/>
      <c r="U60" s="204"/>
      <c r="V60" s="205"/>
      <c r="W60" s="206"/>
      <c r="X60" s="205"/>
      <c r="Y60" s="207"/>
      <c r="Z60" s="204"/>
      <c r="AA60" s="67"/>
      <c r="AB60" s="67"/>
      <c r="AC60" s="67"/>
      <c r="AD60" s="151"/>
    </row>
    <row r="61" spans="2:30">
      <c r="B61" s="166"/>
      <c r="C61" s="173"/>
      <c r="D61" s="103"/>
      <c r="E61" s="146"/>
      <c r="F61" s="103"/>
      <c r="G61" s="103"/>
      <c r="H61" s="97" t="str">
        <f t="shared" si="4"/>
        <v/>
      </c>
      <c r="I61" s="148"/>
      <c r="J61" s="103"/>
      <c r="K61" s="97" t="str">
        <f t="shared" si="6"/>
        <v/>
      </c>
      <c r="L61" s="303" t="str">
        <f>IF(J61="","",_xlfn.XLOOKUP(H61,'Emission Factors'!$M$404:$M$427,'Emission Factors'!$U$404:$U$427))</f>
        <v/>
      </c>
      <c r="M61" s="309" t="str">
        <f>IF(L61="","",INDEX(Conversions!$C$14:$D$15,MATCH(K61,Conversions!$B$14:$B$15,0),MATCH(L61,Conversions!$C$13:$D$13,0)))</f>
        <v/>
      </c>
      <c r="N61" s="309" t="str">
        <f>IF(J61="","",_xlfn.XLOOKUP(H61,'Emission Factors'!$M$404:$M$427,'Emission Factors'!$T$404:$T$427)*M61)</f>
        <v/>
      </c>
      <c r="O61" s="305" t="str">
        <f t="shared" si="9"/>
        <v/>
      </c>
      <c r="P61" s="209" t="str">
        <f t="shared" si="8"/>
        <v/>
      </c>
      <c r="Q61" s="303" t="str">
        <f>IF(J61="","",_xlfn.XLOOKUP(H61,'Emission Factors'!$M:$M,'Emission Factors'!$W:$W))</f>
        <v/>
      </c>
      <c r="R61" s="104"/>
      <c r="S61" s="67"/>
      <c r="T61" s="204"/>
      <c r="U61" s="204"/>
      <c r="V61" s="205"/>
      <c r="W61" s="206"/>
      <c r="X61" s="205"/>
      <c r="Y61" s="207"/>
      <c r="Z61" s="204"/>
      <c r="AA61" s="67"/>
      <c r="AB61" s="67"/>
      <c r="AC61" s="67"/>
      <c r="AD61" s="151"/>
    </row>
    <row r="62" spans="2:30">
      <c r="B62" s="166"/>
      <c r="C62" s="173"/>
      <c r="D62" s="103"/>
      <c r="E62" s="146"/>
      <c r="F62" s="103"/>
      <c r="G62" s="103"/>
      <c r="H62" s="97" t="str">
        <f>G62&amp;F62</f>
        <v/>
      </c>
      <c r="I62" s="148"/>
      <c r="J62" s="103"/>
      <c r="K62" s="97" t="str">
        <f t="shared" si="6"/>
        <v/>
      </c>
      <c r="L62" s="303" t="str">
        <f>IF(J62="","",_xlfn.XLOOKUP(H62,'Emission Factors'!$M$404:$M$427,'Emission Factors'!$U$404:$U$427))</f>
        <v/>
      </c>
      <c r="M62" s="309" t="str">
        <f>IF(L62="","",INDEX(Conversions!$C$14:$D$15,MATCH(K62,Conversions!$B$14:$B$15,0),MATCH(L62,Conversions!$C$13:$D$13,0)))</f>
        <v/>
      </c>
      <c r="N62" s="309" t="str">
        <f>IF(J62="","",_xlfn.XLOOKUP(H62,'Emission Factors'!$M$404:$M$427,'Emission Factors'!$T$404:$T$427)*M62)</f>
        <v/>
      </c>
      <c r="O62" s="305" t="str">
        <f t="shared" si="9"/>
        <v/>
      </c>
      <c r="P62" s="209" t="str">
        <f t="shared" si="8"/>
        <v/>
      </c>
      <c r="Q62" s="303" t="str">
        <f>IF(J62="","",_xlfn.XLOOKUP(H62,'Emission Factors'!$M:$M,'Emission Factors'!$W:$W))</f>
        <v/>
      </c>
      <c r="R62" s="104"/>
      <c r="S62" s="67"/>
      <c r="T62" s="204"/>
      <c r="U62" s="204"/>
      <c r="V62" s="205"/>
      <c r="W62" s="206"/>
      <c r="X62" s="205"/>
      <c r="Y62" s="207"/>
      <c r="Z62" s="204"/>
      <c r="AA62" s="67"/>
      <c r="AB62" s="67"/>
      <c r="AC62" s="67"/>
      <c r="AD62" s="151"/>
    </row>
    <row r="63" spans="2:30">
      <c r="B63" s="166"/>
      <c r="C63" s="173"/>
      <c r="D63" s="103"/>
      <c r="E63" s="146"/>
      <c r="F63" s="103"/>
      <c r="G63" s="103"/>
      <c r="H63" s="97" t="str">
        <f>G63&amp;F63</f>
        <v/>
      </c>
      <c r="I63" s="148"/>
      <c r="J63" s="103"/>
      <c r="K63" s="97" t="str">
        <f t="shared" si="6"/>
        <v/>
      </c>
      <c r="L63" s="303" t="str">
        <f>IF(J63="","",_xlfn.XLOOKUP(H63,'Emission Factors'!$M$404:$M$427,'Emission Factors'!$U$404:$U$427))</f>
        <v/>
      </c>
      <c r="M63" s="309" t="str">
        <f>IF(L63="","",INDEX(Conversions!$C$14:$D$15,MATCH(K63,Conversions!$B$14:$B$15,0),MATCH(L63,Conversions!$C$13:$D$13,0)))</f>
        <v/>
      </c>
      <c r="N63" s="309" t="str">
        <f>IF(J63="","",_xlfn.XLOOKUP(H63,'Emission Factors'!$M$404:$M$427,'Emission Factors'!$T$404:$T$427)*M63)</f>
        <v/>
      </c>
      <c r="O63" s="305" t="str">
        <f t="shared" si="9"/>
        <v/>
      </c>
      <c r="P63" s="209" t="str">
        <f t="shared" si="8"/>
        <v/>
      </c>
      <c r="Q63" s="303" t="str">
        <f>IF(J63="","",_xlfn.XLOOKUP(H63,'Emission Factors'!$M:$M,'Emission Factors'!$W:$W))</f>
        <v/>
      </c>
      <c r="R63" s="104"/>
      <c r="S63" s="67"/>
      <c r="T63" s="204"/>
      <c r="U63" s="204"/>
      <c r="V63" s="205"/>
      <c r="W63" s="206"/>
      <c r="X63" s="205"/>
      <c r="Y63" s="207"/>
      <c r="Z63" s="204"/>
      <c r="AA63" s="67"/>
      <c r="AB63" s="67"/>
      <c r="AC63" s="67"/>
      <c r="AD63" s="151"/>
    </row>
    <row r="64" spans="2:30">
      <c r="B64" s="166"/>
      <c r="C64" s="173"/>
      <c r="D64" s="103"/>
      <c r="E64" s="146"/>
      <c r="F64" s="103"/>
      <c r="G64" s="103"/>
      <c r="H64" s="97" t="str">
        <f t="shared" si="4"/>
        <v/>
      </c>
      <c r="I64" s="148"/>
      <c r="J64" s="103"/>
      <c r="K64" s="97" t="str">
        <f t="shared" si="6"/>
        <v/>
      </c>
      <c r="L64" s="303" t="str">
        <f>IF(J64="","",_xlfn.XLOOKUP(H64,'Emission Factors'!$M$404:$M$427,'Emission Factors'!$U$404:$U$427))</f>
        <v/>
      </c>
      <c r="M64" s="309" t="str">
        <f>IF(L64="","",INDEX(Conversions!$C$14:$D$15,MATCH(K64,Conversions!$B$14:$B$15,0),MATCH(L64,Conversions!$C$13:$D$13,0)))</f>
        <v/>
      </c>
      <c r="N64" s="309" t="str">
        <f>IF(J64="","",_xlfn.XLOOKUP(H64,'Emission Factors'!$M$404:$M$427,'Emission Factors'!$T$404:$T$427)*M64)</f>
        <v/>
      </c>
      <c r="O64" s="305" t="str">
        <f t="shared" si="9"/>
        <v/>
      </c>
      <c r="P64" s="209" t="str">
        <f t="shared" si="8"/>
        <v/>
      </c>
      <c r="Q64" s="303" t="str">
        <f>IF(J64="","",_xlfn.XLOOKUP(H64,'Emission Factors'!$M:$M,'Emission Factors'!$W:$W))</f>
        <v/>
      </c>
      <c r="R64" s="104"/>
      <c r="S64" s="67"/>
      <c r="T64" s="204"/>
      <c r="U64" s="204"/>
      <c r="V64" s="205"/>
      <c r="W64" s="206"/>
      <c r="X64" s="205"/>
      <c r="Y64" s="207"/>
      <c r="Z64" s="204"/>
      <c r="AA64" s="67"/>
      <c r="AB64" s="67"/>
      <c r="AC64" s="67"/>
      <c r="AD64" s="151"/>
    </row>
    <row r="65" spans="2:30">
      <c r="B65" s="166"/>
      <c r="C65" s="173"/>
      <c r="D65" s="103"/>
      <c r="E65" s="146"/>
      <c r="F65" s="103"/>
      <c r="G65" s="103"/>
      <c r="H65" s="97" t="str">
        <f t="shared" si="4"/>
        <v/>
      </c>
      <c r="I65" s="148"/>
      <c r="J65" s="103"/>
      <c r="K65" s="97" t="str">
        <f t="shared" si="6"/>
        <v/>
      </c>
      <c r="L65" s="303" t="str">
        <f>IF(J65="","",_xlfn.XLOOKUP(H65,'Emission Factors'!$M$404:$M$427,'Emission Factors'!$U$404:$U$427))</f>
        <v/>
      </c>
      <c r="M65" s="309" t="str">
        <f>IF(L65="","",INDEX(Conversions!$C$14:$D$15,MATCH(K65,Conversions!$B$14:$B$15,0),MATCH(L65,Conversions!$C$13:$D$13,0)))</f>
        <v/>
      </c>
      <c r="N65" s="309" t="str">
        <f>IF(J65="","",_xlfn.XLOOKUP(H65,'Emission Factors'!$M$404:$M$427,'Emission Factors'!$T$404:$T$427)*M65)</f>
        <v/>
      </c>
      <c r="O65" s="305" t="str">
        <f t="shared" si="9"/>
        <v/>
      </c>
      <c r="P65" s="209" t="str">
        <f t="shared" si="8"/>
        <v/>
      </c>
      <c r="Q65" s="303" t="str">
        <f>IF(J65="","",_xlfn.XLOOKUP(H65,'Emission Factors'!$M:$M,'Emission Factors'!$W:$W))</f>
        <v/>
      </c>
      <c r="R65" s="104"/>
      <c r="S65" s="67"/>
      <c r="T65" s="204"/>
      <c r="U65" s="204"/>
      <c r="V65" s="205"/>
      <c r="W65" s="206"/>
      <c r="X65" s="205"/>
      <c r="Y65" s="207"/>
      <c r="Z65" s="204"/>
      <c r="AA65" s="67"/>
      <c r="AB65" s="67"/>
      <c r="AC65" s="67"/>
      <c r="AD65" s="151"/>
    </row>
    <row r="66" spans="2:30">
      <c r="B66" s="166"/>
      <c r="C66" s="173"/>
      <c r="D66" s="103"/>
      <c r="E66" s="146"/>
      <c r="F66" s="103"/>
      <c r="G66" s="103"/>
      <c r="H66" s="97" t="str">
        <f t="shared" si="4"/>
        <v/>
      </c>
      <c r="I66" s="148"/>
      <c r="J66" s="103"/>
      <c r="K66" s="97" t="str">
        <f t="shared" si="6"/>
        <v/>
      </c>
      <c r="L66" s="303" t="str">
        <f>IF(J66="","",_xlfn.XLOOKUP(H66,'Emission Factors'!$M$404:$M$427,'Emission Factors'!$U$404:$U$427))</f>
        <v/>
      </c>
      <c r="M66" s="309" t="str">
        <f>IF(L66="","",INDEX(Conversions!$C$14:$D$15,MATCH(K66,Conversions!$B$14:$B$15,0),MATCH(L66,Conversions!$C$13:$D$13,0)))</f>
        <v/>
      </c>
      <c r="N66" s="309" t="str">
        <f>IF(J66="","",_xlfn.XLOOKUP(H66,'Emission Factors'!$M$404:$M$427,'Emission Factors'!$T$404:$T$427)*M66)</f>
        <v/>
      </c>
      <c r="O66" s="305" t="str">
        <f t="shared" si="9"/>
        <v/>
      </c>
      <c r="P66" s="209" t="str">
        <f t="shared" si="8"/>
        <v/>
      </c>
      <c r="Q66" s="303" t="str">
        <f>IF(J66="","",_xlfn.XLOOKUP(H66,'Emission Factors'!$M:$M,'Emission Factors'!$W:$W))</f>
        <v/>
      </c>
      <c r="R66" s="104"/>
      <c r="S66" s="67"/>
      <c r="T66" s="204"/>
      <c r="U66" s="204"/>
      <c r="V66" s="205"/>
      <c r="W66" s="206"/>
      <c r="X66" s="205"/>
      <c r="Y66" s="207"/>
      <c r="Z66" s="204"/>
      <c r="AA66" s="67"/>
      <c r="AB66" s="67"/>
      <c r="AC66" s="67"/>
      <c r="AD66" s="151"/>
    </row>
    <row r="67" spans="2:30">
      <c r="B67" s="166"/>
      <c r="C67" s="173"/>
      <c r="D67" s="103"/>
      <c r="E67" s="146"/>
      <c r="F67" s="103"/>
      <c r="G67" s="103"/>
      <c r="H67" s="97" t="str">
        <f t="shared" si="4"/>
        <v/>
      </c>
      <c r="I67" s="148"/>
      <c r="J67" s="103"/>
      <c r="K67" s="97" t="str">
        <f t="shared" si="6"/>
        <v/>
      </c>
      <c r="L67" s="303" t="str">
        <f>IF(J67="","",_xlfn.XLOOKUP(H67,'Emission Factors'!$M$404:$M$427,'Emission Factors'!$U$404:$U$427))</f>
        <v/>
      </c>
      <c r="M67" s="309" t="str">
        <f>IF(L67="","",INDEX(Conversions!$C$14:$D$15,MATCH(K67,Conversions!$B$14:$B$15,0),MATCH(L67,Conversions!$C$13:$D$13,0)))</f>
        <v/>
      </c>
      <c r="N67" s="309" t="str">
        <f>IF(J67="","",_xlfn.XLOOKUP(H67,'Emission Factors'!$M$404:$M$427,'Emission Factors'!$T$404:$T$427)*M67)</f>
        <v/>
      </c>
      <c r="O67" s="305" t="str">
        <f t="shared" si="9"/>
        <v/>
      </c>
      <c r="P67" s="209" t="str">
        <f t="shared" si="8"/>
        <v/>
      </c>
      <c r="Q67" s="303" t="str">
        <f>IF(J67="","",_xlfn.XLOOKUP(H67,'Emission Factors'!$M:$M,'Emission Factors'!$W:$W))</f>
        <v/>
      </c>
      <c r="R67" s="104"/>
      <c r="S67" s="67"/>
      <c r="T67" s="204"/>
      <c r="U67" s="204"/>
      <c r="V67" s="205"/>
      <c r="W67" s="206"/>
      <c r="X67" s="205"/>
      <c r="Y67" s="207"/>
      <c r="Z67" s="204"/>
      <c r="AA67" s="67"/>
      <c r="AB67" s="67"/>
      <c r="AC67" s="67"/>
      <c r="AD67" s="151"/>
    </row>
    <row r="68" spans="2:30">
      <c r="B68" s="166"/>
      <c r="C68" s="173"/>
      <c r="D68" s="103"/>
      <c r="E68" s="146"/>
      <c r="F68" s="103"/>
      <c r="G68" s="103"/>
      <c r="H68" s="97" t="str">
        <f t="shared" si="4"/>
        <v/>
      </c>
      <c r="I68" s="148"/>
      <c r="J68" s="103"/>
      <c r="K68" s="97" t="str">
        <f t="shared" si="6"/>
        <v/>
      </c>
      <c r="L68" s="303" t="str">
        <f>IF(J68="","",_xlfn.XLOOKUP(H68,'Emission Factors'!$M$404:$M$427,'Emission Factors'!$U$404:$U$427))</f>
        <v/>
      </c>
      <c r="M68" s="309" t="str">
        <f>IF(L68="","",INDEX(Conversions!$C$14:$D$15,MATCH(K68,Conversions!$B$14:$B$15,0),MATCH(L68,Conversions!$C$13:$D$13,0)))</f>
        <v/>
      </c>
      <c r="N68" s="309" t="str">
        <f>IF(J68="","",_xlfn.XLOOKUP(H68,'Emission Factors'!$M$404:$M$427,'Emission Factors'!$T$404:$T$427)*M68)</f>
        <v/>
      </c>
      <c r="O68" s="305" t="str">
        <f t="shared" si="9"/>
        <v/>
      </c>
      <c r="P68" s="209" t="str">
        <f t="shared" si="8"/>
        <v/>
      </c>
      <c r="Q68" s="303" t="str">
        <f>IF(J68="","",_xlfn.XLOOKUP(H68,'Emission Factors'!$M:$M,'Emission Factors'!$W:$W))</f>
        <v/>
      </c>
      <c r="R68" s="104"/>
      <c r="S68" s="67"/>
      <c r="T68" s="204"/>
      <c r="U68" s="204"/>
      <c r="V68" s="205"/>
      <c r="W68" s="206"/>
      <c r="X68" s="205"/>
      <c r="Y68" s="207"/>
      <c r="Z68" s="204"/>
      <c r="AA68" s="67"/>
      <c r="AB68" s="67"/>
      <c r="AC68" s="67"/>
      <c r="AD68" s="151"/>
    </row>
    <row r="69" spans="2:30">
      <c r="B69" s="166"/>
      <c r="C69" s="173"/>
      <c r="D69" s="103"/>
      <c r="E69" s="146"/>
      <c r="F69" s="103"/>
      <c r="G69" s="103"/>
      <c r="H69" s="97" t="str">
        <f t="shared" si="4"/>
        <v/>
      </c>
      <c r="I69" s="148"/>
      <c r="J69" s="103"/>
      <c r="K69" s="97" t="str">
        <f t="shared" si="6"/>
        <v/>
      </c>
      <c r="L69" s="303" t="str">
        <f>IF(J69="","",_xlfn.XLOOKUP(H69,'Emission Factors'!$M$404:$M$427,'Emission Factors'!$U$404:$U$427))</f>
        <v/>
      </c>
      <c r="M69" s="309" t="str">
        <f>IF(L69="","",INDEX(Conversions!$C$14:$D$15,MATCH(K69,Conversions!$B$14:$B$15,0),MATCH(L69,Conversions!$C$13:$D$13,0)))</f>
        <v/>
      </c>
      <c r="N69" s="309" t="str">
        <f>IF(J69="","",_xlfn.XLOOKUP(H69,'Emission Factors'!$M$404:$M$427,'Emission Factors'!$T$404:$T$427)*M69)</f>
        <v/>
      </c>
      <c r="O69" s="305" t="str">
        <f t="shared" si="9"/>
        <v/>
      </c>
      <c r="P69" s="209" t="str">
        <f t="shared" si="8"/>
        <v/>
      </c>
      <c r="Q69" s="303" t="str">
        <f>IF(J69="","",_xlfn.XLOOKUP(H69,'Emission Factors'!$M:$M,'Emission Factors'!$W:$W))</f>
        <v/>
      </c>
      <c r="R69" s="104"/>
      <c r="S69" s="67"/>
      <c r="T69" s="204"/>
      <c r="U69" s="204"/>
      <c r="V69" s="205"/>
      <c r="W69" s="206"/>
      <c r="X69" s="205"/>
      <c r="Y69" s="207"/>
      <c r="Z69" s="204"/>
      <c r="AA69" s="67"/>
      <c r="AB69" s="67"/>
      <c r="AC69" s="67"/>
      <c r="AD69" s="151"/>
    </row>
    <row r="70" spans="2:30">
      <c r="B70" s="166"/>
      <c r="C70" s="173"/>
      <c r="D70" s="103"/>
      <c r="E70" s="146"/>
      <c r="F70" s="103"/>
      <c r="G70" s="103"/>
      <c r="H70" s="97" t="str">
        <f t="shared" si="4"/>
        <v/>
      </c>
      <c r="I70" s="148"/>
      <c r="J70" s="103"/>
      <c r="K70" s="97" t="str">
        <f t="shared" si="6"/>
        <v/>
      </c>
      <c r="L70" s="303" t="str">
        <f>IF(J70="","",_xlfn.XLOOKUP(H70,'Emission Factors'!$M$404:$M$427,'Emission Factors'!$U$404:$U$427))</f>
        <v/>
      </c>
      <c r="M70" s="309" t="str">
        <f>IF(L70="","",INDEX(Conversions!$C$14:$D$15,MATCH(K70,Conversions!$B$14:$B$15,0),MATCH(L70,Conversions!$C$13:$D$13,0)))</f>
        <v/>
      </c>
      <c r="N70" s="309" t="str">
        <f>IF(J70="","",_xlfn.XLOOKUP(H70,'Emission Factors'!$M$404:$M$427,'Emission Factors'!$T$404:$T$427)*M70)</f>
        <v/>
      </c>
      <c r="O70" s="305" t="str">
        <f t="shared" si="9"/>
        <v/>
      </c>
      <c r="P70" s="209" t="str">
        <f t="shared" si="8"/>
        <v/>
      </c>
      <c r="Q70" s="303" t="str">
        <f>IF(J70="","",_xlfn.XLOOKUP(H70,'Emission Factors'!$M:$M,'Emission Factors'!$W:$W))</f>
        <v/>
      </c>
      <c r="R70" s="104"/>
      <c r="S70" s="67"/>
      <c r="T70" s="204"/>
      <c r="U70" s="204"/>
      <c r="V70" s="205"/>
      <c r="W70" s="206"/>
      <c r="X70" s="205"/>
      <c r="Y70" s="207"/>
      <c r="Z70" s="204"/>
      <c r="AA70" s="67"/>
      <c r="AB70" s="67"/>
      <c r="AC70" s="67"/>
      <c r="AD70" s="151"/>
    </row>
    <row r="71" spans="2:30">
      <c r="B71" s="166"/>
      <c r="C71" s="173"/>
      <c r="D71" s="103"/>
      <c r="E71" s="146"/>
      <c r="F71" s="103"/>
      <c r="G71" s="103"/>
      <c r="H71" s="97" t="str">
        <f t="shared" si="4"/>
        <v/>
      </c>
      <c r="I71" s="148"/>
      <c r="J71" s="103"/>
      <c r="K71" s="97" t="str">
        <f t="shared" si="6"/>
        <v/>
      </c>
      <c r="L71" s="303" t="str">
        <f>IF(J71="","",_xlfn.XLOOKUP(H71,'Emission Factors'!$M$404:$M$427,'Emission Factors'!$U$404:$U$427))</f>
        <v/>
      </c>
      <c r="M71" s="309" t="str">
        <f>IF(L71="","",INDEX(Conversions!$C$14:$D$15,MATCH(K71,Conversions!$B$14:$B$15,0),MATCH(L71,Conversions!$C$13:$D$13,0)))</f>
        <v/>
      </c>
      <c r="N71" s="309" t="str">
        <f>IF(J71="","",_xlfn.XLOOKUP(H71,'Emission Factors'!$M$404:$M$427,'Emission Factors'!$T$404:$T$427)*M71)</f>
        <v/>
      </c>
      <c r="O71" s="305" t="str">
        <f t="shared" si="9"/>
        <v/>
      </c>
      <c r="P71" s="209" t="str">
        <f t="shared" si="8"/>
        <v/>
      </c>
      <c r="Q71" s="303" t="str">
        <f>IF(J71="","",_xlfn.XLOOKUP(H71,'Emission Factors'!$M:$M,'Emission Factors'!$W:$W))</f>
        <v/>
      </c>
      <c r="R71" s="104"/>
      <c r="S71" s="67"/>
      <c r="T71" s="204"/>
      <c r="U71" s="204"/>
      <c r="V71" s="205"/>
      <c r="W71" s="206"/>
      <c r="X71" s="205"/>
      <c r="Y71" s="207"/>
      <c r="Z71" s="204"/>
      <c r="AA71" s="67"/>
      <c r="AB71" s="67"/>
      <c r="AC71" s="67"/>
      <c r="AD71" s="151"/>
    </row>
    <row r="72" spans="2:30">
      <c r="B72" s="166"/>
      <c r="C72" s="173"/>
      <c r="D72" s="103"/>
      <c r="E72" s="146"/>
      <c r="F72" s="103"/>
      <c r="G72" s="103"/>
      <c r="H72" s="97" t="str">
        <f t="shared" si="4"/>
        <v/>
      </c>
      <c r="I72" s="148"/>
      <c r="J72" s="103"/>
      <c r="K72" s="97" t="str">
        <f t="shared" si="6"/>
        <v/>
      </c>
      <c r="L72" s="303" t="str">
        <f>IF(J72="","",_xlfn.XLOOKUP(H72,'Emission Factors'!$M$404:$M$427,'Emission Factors'!$U$404:$U$427))</f>
        <v/>
      </c>
      <c r="M72" s="309" t="str">
        <f>IF(L72="","",INDEX(Conversions!$C$14:$D$15,MATCH(K72,Conversions!$B$14:$B$15,0),MATCH(L72,Conversions!$C$13:$D$13,0)))</f>
        <v/>
      </c>
      <c r="N72" s="309" t="str">
        <f>IF(J72="","",_xlfn.XLOOKUP(H72,'Emission Factors'!$M$404:$M$427,'Emission Factors'!$T$404:$T$427)*M72)</f>
        <v/>
      </c>
      <c r="O72" s="305" t="str">
        <f t="shared" si="9"/>
        <v/>
      </c>
      <c r="P72" s="209" t="str">
        <f t="shared" si="8"/>
        <v/>
      </c>
      <c r="Q72" s="303" t="str">
        <f>IF(J72="","",_xlfn.XLOOKUP(H72,'Emission Factors'!$M:$M,'Emission Factors'!$W:$W))</f>
        <v/>
      </c>
      <c r="R72" s="104"/>
      <c r="S72" s="67"/>
      <c r="T72" s="204"/>
      <c r="U72" s="204"/>
      <c r="V72" s="205"/>
      <c r="W72" s="206"/>
      <c r="X72" s="205"/>
      <c r="Y72" s="207"/>
      <c r="Z72" s="204"/>
      <c r="AA72" s="67"/>
      <c r="AB72" s="67"/>
      <c r="AC72" s="67"/>
      <c r="AD72" s="151"/>
    </row>
    <row r="73" spans="2:30">
      <c r="B73" s="166"/>
      <c r="C73" s="173"/>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51"/>
    </row>
    <row r="74" spans="2:30" ht="15.75">
      <c r="B74" s="166"/>
      <c r="C74" s="173"/>
      <c r="D74" s="312" t="str">
        <f>'V3 - Employee Commuting'!D62</f>
        <v>Samanlagt</v>
      </c>
      <c r="E74" s="82"/>
      <c r="F74" s="82"/>
      <c r="G74" s="82"/>
      <c r="H74" s="82"/>
      <c r="I74" s="82"/>
      <c r="J74" s="82"/>
      <c r="K74" s="82"/>
      <c r="L74" s="82"/>
      <c r="M74" s="82"/>
      <c r="N74" s="82"/>
      <c r="O74" s="82"/>
      <c r="P74" s="140">
        <f>SUM($P$31:$P$72)</f>
        <v>0</v>
      </c>
      <c r="Q74" s="82"/>
      <c r="R74" s="210"/>
      <c r="S74" s="67"/>
      <c r="T74" s="67"/>
      <c r="U74" s="67"/>
      <c r="V74" s="67"/>
      <c r="W74" s="67"/>
      <c r="X74" s="67"/>
      <c r="Y74" s="211"/>
      <c r="Z74" s="67"/>
      <c r="AA74" s="67"/>
      <c r="AB74" s="67"/>
      <c r="AC74" s="67"/>
      <c r="AD74" s="151"/>
    </row>
    <row r="75" spans="2:30">
      <c r="B75" s="166"/>
      <c r="C75" s="173"/>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51"/>
    </row>
    <row r="76" spans="2:30" ht="17.25" hidden="1" customHeight="1">
      <c r="B76" s="166"/>
      <c r="C76" s="173"/>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51"/>
    </row>
    <row r="77" spans="2:30" ht="48.6" hidden="1" customHeight="1">
      <c r="B77" s="166"/>
      <c r="C77" s="173"/>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51"/>
    </row>
    <row r="78" spans="2:30" hidden="1">
      <c r="B78" s="166"/>
      <c r="C78" s="173"/>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51"/>
    </row>
    <row r="79" spans="2:30" hidden="1">
      <c r="B79" s="166"/>
      <c r="C79" s="173"/>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51"/>
    </row>
    <row r="80" spans="2:30" hidden="1">
      <c r="B80" s="166"/>
      <c r="C80" s="173"/>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51"/>
    </row>
    <row r="81" spans="2:30" hidden="1">
      <c r="B81" s="166"/>
      <c r="C81" s="173"/>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51"/>
    </row>
    <row r="82" spans="2:30" hidden="1">
      <c r="B82" s="166"/>
      <c r="C82" s="173"/>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51"/>
    </row>
    <row r="83" spans="2:30" hidden="1">
      <c r="B83" s="166"/>
      <c r="C83" s="173"/>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51"/>
    </row>
    <row r="84" spans="2:30" hidden="1">
      <c r="B84" s="166"/>
      <c r="C84" s="173"/>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51"/>
    </row>
    <row r="85" spans="2:30" hidden="1">
      <c r="B85" s="166"/>
      <c r="C85" s="173"/>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51"/>
    </row>
    <row r="86" spans="2:30" hidden="1">
      <c r="B86" s="166"/>
      <c r="C86" s="173"/>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51"/>
    </row>
    <row r="87" spans="2:30" hidden="1">
      <c r="B87" s="166"/>
      <c r="C87" s="173"/>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51"/>
    </row>
    <row r="88" spans="2:30" hidden="1">
      <c r="B88" s="166"/>
      <c r="C88" s="173"/>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51"/>
    </row>
    <row r="89" spans="2:30" hidden="1">
      <c r="B89" s="166"/>
      <c r="C89" s="173"/>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51"/>
    </row>
    <row r="90" spans="2:30" hidden="1">
      <c r="B90" s="166"/>
      <c r="C90" s="173"/>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51"/>
    </row>
    <row r="91" spans="2:30" hidden="1">
      <c r="B91" s="166"/>
      <c r="C91" s="173"/>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51"/>
    </row>
    <row r="92" spans="2:30" hidden="1">
      <c r="B92" s="166"/>
      <c r="C92" s="173"/>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51"/>
    </row>
    <row r="93" spans="2:30" hidden="1">
      <c r="B93" s="166"/>
      <c r="C93" s="173"/>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51"/>
    </row>
    <row r="94" spans="2:30" hidden="1">
      <c r="B94" s="166"/>
      <c r="C94" s="173"/>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51"/>
    </row>
    <row r="95" spans="2:30" hidden="1">
      <c r="B95" s="166"/>
      <c r="C95" s="173"/>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51"/>
    </row>
    <row r="96" spans="2:30" hidden="1">
      <c r="B96" s="166"/>
      <c r="C96" s="173"/>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51"/>
    </row>
    <row r="97" spans="2:30" hidden="1">
      <c r="B97" s="166"/>
      <c r="C97" s="173"/>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51"/>
    </row>
    <row r="98" spans="2:30" hidden="1">
      <c r="B98" s="166"/>
      <c r="C98" s="173"/>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51"/>
    </row>
    <row r="99" spans="2:30" hidden="1">
      <c r="B99" s="166"/>
      <c r="C99" s="173"/>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51"/>
    </row>
    <row r="100" spans="2:30" hidden="1">
      <c r="B100" s="166"/>
      <c r="C100" s="173"/>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51"/>
    </row>
    <row r="101" spans="2:30" hidden="1">
      <c r="B101" s="166"/>
      <c r="C101" s="173"/>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51"/>
    </row>
    <row r="102" spans="2:30" hidden="1">
      <c r="B102" s="166"/>
      <c r="C102" s="17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51"/>
    </row>
    <row r="103" spans="2:30" hidden="1">
      <c r="B103" s="166"/>
      <c r="C103" s="173"/>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51"/>
    </row>
    <row r="104" spans="2:30" hidden="1">
      <c r="B104" s="166"/>
      <c r="C104" s="173"/>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51"/>
    </row>
    <row r="105" spans="2:30" hidden="1">
      <c r="B105" s="166"/>
      <c r="C105" s="173"/>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151"/>
    </row>
    <row r="106" spans="2:30" hidden="1">
      <c r="B106" s="166"/>
      <c r="C106" s="173"/>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151"/>
    </row>
    <row r="107" spans="2:30" hidden="1">
      <c r="B107" s="166"/>
      <c r="C107" s="173"/>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151"/>
    </row>
    <row r="108" spans="2:30" hidden="1">
      <c r="B108" s="166"/>
      <c r="C108" s="173"/>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151"/>
    </row>
    <row r="109" spans="2:30" hidden="1">
      <c r="B109" s="166"/>
      <c r="C109" s="173"/>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151"/>
    </row>
    <row r="110" spans="2:30" hidden="1">
      <c r="B110" s="166"/>
      <c r="C110" s="173"/>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151"/>
    </row>
    <row r="111" spans="2:30" hidden="1">
      <c r="B111" s="166"/>
      <c r="C111" s="173"/>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151"/>
    </row>
    <row r="112" spans="2:30">
      <c r="B112" s="166"/>
      <c r="C112" s="173"/>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151"/>
    </row>
    <row r="113" spans="2:30">
      <c r="B113" s="166"/>
      <c r="C113" s="173"/>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151"/>
    </row>
    <row r="114" spans="2:30">
      <c r="B114" s="166"/>
      <c r="C114" s="173"/>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151"/>
    </row>
    <row r="115" spans="2:30">
      <c r="B115" s="166"/>
      <c r="C115" s="173"/>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151"/>
    </row>
    <row r="116" spans="2:30">
      <c r="B116" s="166"/>
      <c r="C116" s="173"/>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151"/>
    </row>
  </sheetData>
  <sheetProtection algorithmName="SHA-512" hashValue="Iu/7KVY87umg/Si0CikVSHv7T/5qebiitURdPBjqt1rVrns0k91tF3W9S5kfgmc05nSUEh5w5vEZKZVGae3bQQ==" saltValue="IaIwYPHvcdepegncdx4l+g==" spinCount="100000" sheet="1" objects="1" scenarios="1"/>
  <mergeCells count="7">
    <mergeCell ref="D29:R29"/>
    <mergeCell ref="D22:R22"/>
    <mergeCell ref="D4:T11"/>
    <mergeCell ref="D15:N20"/>
    <mergeCell ref="D14:N14"/>
    <mergeCell ref="D12:T12"/>
    <mergeCell ref="T21:Z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3EB75EA1-1851-4D9B-B704-EF0D2A908362}">
          <x14:formula1>
            <xm:f>Dropdown!$BH$3:$BH$20</xm:f>
          </x14:formula1>
          <xm:sqref>F24:F25 F32:F72</xm:sqref>
        </x14:dataValidation>
        <x14:dataValidation type="list" allowBlank="1" showInputMessage="1" showErrorMessage="1" xr:uid="{9117BAC9-6A88-4532-A5A5-1B5C8391B062}">
          <x14:formula1>
            <xm:f>Dropdown!$T$3:$T$4</xm:f>
          </x14:formula1>
          <xm:sqref>J24:J25 J31:J72</xm:sqref>
        </x14:dataValidation>
        <x14:dataValidation type="list" allowBlank="1" showInputMessage="1" showErrorMessage="1" xr:uid="{30ACF714-671A-42D9-AF8C-30CD04B515B8}">
          <x14:formula1>
            <xm:f>INDIRECT(_xlfn.XLOOKUP(F24,Dropdown!$BE$3:$BE$29,Dropdown!$BF$3:$BF$29))</xm:f>
          </x14:formula1>
          <xm:sqref>G24:G25</xm:sqref>
        </x14:dataValidation>
        <x14:dataValidation type="list" allowBlank="1" showInputMessage="1" showErrorMessage="1" xr:uid="{9843C889-A327-487D-8AA5-2967F770A1BB}">
          <x14:formula1>
            <xm:f>'Organisation Details'!$G$33:$G$58</xm:f>
          </x14:formula1>
          <xm:sqref>D31:D72</xm:sqref>
        </x14:dataValidation>
        <x14:dataValidation type="list" allowBlank="1" showInputMessage="1" showErrorMessage="1" xr:uid="{BE1B32B6-5675-45EC-8C8E-BF70A28D148E}">
          <x14:formula1>
            <xm:f>Dropdown!$BH$3:$BH$21</xm:f>
          </x14:formula1>
          <xm:sqref>F31</xm:sqref>
        </x14:dataValidation>
        <x14:dataValidation type="list" allowBlank="1" showInputMessage="1" showErrorMessage="1" xr:uid="{A3F44637-FD7C-4454-A136-41F44D05F997}">
          <x14:formula1>
            <xm:f>INDIRECT(_xlfn.XLOOKUP(F31,Dropdown!$BE$3:$BE$30,Dropdown!$BF$3:$BF$30))</xm:f>
          </x14:formula1>
          <xm:sqref>G31:G72</xm:sqref>
        </x14:dataValidation>
        <x14:dataValidation type="list" allowBlank="1" showInputMessage="1" showErrorMessage="1" xr:uid="{046DE098-E2C6-40A1-93C2-56F70999E001}">
          <x14:formula1>
            <xm:f>Dropdown!$C$3:$C$6</xm:f>
          </x14:formula1>
          <xm:sqref>D24:D25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792C-F51B-4974-9B30-4511725A5E98}">
  <sheetPr codeName="Sheet17"/>
  <dimension ref="A1:Z104"/>
  <sheetViews>
    <sheetView showGridLines="0" zoomScale="115" zoomScaleNormal="115" workbookViewId="0"/>
  </sheetViews>
  <sheetFormatPr defaultColWidth="8.7109375" defaultRowHeight="15"/>
  <cols>
    <col min="1" max="1" width="28.28515625" bestFit="1" customWidth="1"/>
    <col min="2" max="2" width="28.28515625" customWidth="1"/>
    <col min="3" max="3" width="26.42578125" customWidth="1"/>
    <col min="4" max="4" width="14.140625" customWidth="1"/>
    <col min="5" max="5" width="26" bestFit="1" customWidth="1"/>
    <col min="6" max="6" width="20.7109375" customWidth="1"/>
    <col min="7" max="7" width="43.42578125" customWidth="1"/>
    <col min="8" max="8" width="14.7109375" bestFit="1" customWidth="1"/>
    <col min="9" max="9" width="13.7109375" customWidth="1"/>
    <col min="10" max="10" width="14.7109375" customWidth="1"/>
    <col min="11" max="11" width="13" customWidth="1"/>
    <col min="12" max="12" width="11.42578125" bestFit="1" customWidth="1"/>
  </cols>
  <sheetData>
    <row r="1" spans="1:26">
      <c r="A1" s="13" t="s">
        <v>676</v>
      </c>
    </row>
    <row r="2" spans="1:26">
      <c r="A2" s="13" t="s">
        <v>677</v>
      </c>
    </row>
    <row r="3" spans="1:26">
      <c r="C3" t="s">
        <v>309</v>
      </c>
      <c r="D3" t="s">
        <v>235</v>
      </c>
      <c r="E3" t="s">
        <v>204</v>
      </c>
      <c r="F3" t="s">
        <v>678</v>
      </c>
      <c r="G3" t="s">
        <v>679</v>
      </c>
      <c r="H3" t="s">
        <v>680</v>
      </c>
      <c r="I3" t="s">
        <v>681</v>
      </c>
    </row>
    <row r="4" spans="1:26">
      <c r="B4" t="s">
        <v>309</v>
      </c>
      <c r="C4" s="14">
        <v>1</v>
      </c>
      <c r="D4" s="14">
        <v>1000</v>
      </c>
      <c r="E4" s="14">
        <v>277.77777800000001</v>
      </c>
      <c r="F4" s="14">
        <v>0.27777777800000003</v>
      </c>
      <c r="G4" s="14">
        <v>947817.12</v>
      </c>
      <c r="H4" s="14">
        <v>0.94781711999999996</v>
      </c>
      <c r="I4" s="14">
        <v>9.4781712000000002</v>
      </c>
    </row>
    <row r="5" spans="1:26">
      <c r="B5" t="s">
        <v>235</v>
      </c>
      <c r="C5" s="14">
        <v>1E-3</v>
      </c>
      <c r="D5" s="14">
        <v>1</v>
      </c>
      <c r="E5" s="14">
        <v>0.27777777799999998</v>
      </c>
      <c r="F5" s="14">
        <v>2.7777777799999997E-4</v>
      </c>
      <c r="G5" s="14">
        <v>947.81712000000005</v>
      </c>
      <c r="H5" s="14">
        <v>9.4781712000000006E-4</v>
      </c>
      <c r="I5" s="14">
        <v>9.4781711999999997E-3</v>
      </c>
    </row>
    <row r="6" spans="1:26">
      <c r="B6" t="s">
        <v>204</v>
      </c>
      <c r="C6" s="14">
        <v>3.5999999999999999E-3</v>
      </c>
      <c r="D6" s="14">
        <v>3.6</v>
      </c>
      <c r="E6" s="14">
        <v>1</v>
      </c>
      <c r="F6" s="14">
        <v>1E-3</v>
      </c>
      <c r="G6" s="14">
        <v>3412.1416300000001</v>
      </c>
      <c r="H6" s="14">
        <v>3.4121416300000001E-3</v>
      </c>
      <c r="I6" s="14">
        <v>3.4121416299999999E-2</v>
      </c>
    </row>
    <row r="7" spans="1:26">
      <c r="B7" t="s">
        <v>678</v>
      </c>
      <c r="C7" s="14">
        <v>3.6</v>
      </c>
      <c r="D7" s="14">
        <v>3600</v>
      </c>
      <c r="E7" s="14">
        <v>1000</v>
      </c>
      <c r="F7" s="14">
        <v>1</v>
      </c>
      <c r="G7" s="14">
        <v>3412141.63</v>
      </c>
      <c r="H7" s="14">
        <v>3.4121416300000003</v>
      </c>
      <c r="I7" s="14">
        <v>34.1214163</v>
      </c>
    </row>
    <row r="8" spans="1:26">
      <c r="B8" t="s">
        <v>679</v>
      </c>
      <c r="C8" s="14">
        <v>1.05505585E-6</v>
      </c>
      <c r="D8" s="14">
        <v>1.0550558499999999E-3</v>
      </c>
      <c r="E8" s="14">
        <v>2.9307106999999999E-4</v>
      </c>
      <c r="F8" s="14">
        <v>2.9307106999999998E-7</v>
      </c>
      <c r="G8" s="14">
        <v>1</v>
      </c>
      <c r="H8" s="14">
        <v>9.9999999999999995E-7</v>
      </c>
      <c r="I8" s="14">
        <v>1.0000000000000001E-5</v>
      </c>
    </row>
    <row r="9" spans="1:26">
      <c r="B9" t="s">
        <v>680</v>
      </c>
      <c r="C9" s="14">
        <v>1.05505585</v>
      </c>
      <c r="D9" s="14">
        <v>1055.05585</v>
      </c>
      <c r="E9" s="14">
        <v>293.07106999999996</v>
      </c>
      <c r="F9" s="14">
        <v>0.29307106999999999</v>
      </c>
      <c r="G9" s="14">
        <v>1000000</v>
      </c>
      <c r="H9" s="14">
        <v>1</v>
      </c>
      <c r="I9" s="14">
        <v>10</v>
      </c>
    </row>
    <row r="10" spans="1:26">
      <c r="B10" t="s">
        <v>681</v>
      </c>
      <c r="C10" s="14">
        <v>0.105505585</v>
      </c>
      <c r="D10" s="14">
        <v>105.505585</v>
      </c>
      <c r="E10" s="14">
        <v>29.307106999999998</v>
      </c>
      <c r="F10" s="14">
        <v>2.9307106999999999E-2</v>
      </c>
      <c r="G10" s="14">
        <v>100000</v>
      </c>
      <c r="H10" s="14">
        <v>0.1</v>
      </c>
      <c r="I10" s="14">
        <v>1</v>
      </c>
    </row>
    <row r="12" spans="1:26">
      <c r="D12" s="1"/>
      <c r="E12" s="1"/>
      <c r="F12" s="1"/>
      <c r="G12" s="1"/>
      <c r="H12" s="1"/>
      <c r="I12" s="1"/>
      <c r="J12" s="1"/>
      <c r="K12" s="1"/>
      <c r="L12" s="1"/>
      <c r="M12" s="1"/>
      <c r="N12" s="1"/>
      <c r="O12" s="1"/>
      <c r="P12" s="1"/>
      <c r="Q12" s="1"/>
      <c r="R12" s="1"/>
      <c r="S12" s="1"/>
      <c r="T12" s="1"/>
      <c r="U12" s="1"/>
      <c r="V12" s="1"/>
      <c r="W12" s="1"/>
      <c r="X12" s="1"/>
      <c r="Y12" s="1"/>
      <c r="Z12" s="1"/>
    </row>
    <row r="13" spans="1:26">
      <c r="A13" s="13" t="s">
        <v>682</v>
      </c>
      <c r="C13" t="s">
        <v>226</v>
      </c>
      <c r="D13" t="s">
        <v>281</v>
      </c>
    </row>
    <row r="14" spans="1:26">
      <c r="B14" t="s">
        <v>226</v>
      </c>
      <c r="C14">
        <v>1</v>
      </c>
      <c r="D14">
        <v>1E-3</v>
      </c>
    </row>
    <row r="15" spans="1:26">
      <c r="B15" t="s">
        <v>281</v>
      </c>
      <c r="C15">
        <v>1000</v>
      </c>
      <c r="D15">
        <v>1</v>
      </c>
    </row>
    <row r="18" spans="1:16">
      <c r="A18" s="13" t="s">
        <v>683</v>
      </c>
    </row>
    <row r="19" spans="1:16">
      <c r="A19" s="13" t="s">
        <v>684</v>
      </c>
      <c r="B19" s="13" t="s">
        <v>305</v>
      </c>
      <c r="C19" s="13" t="s">
        <v>685</v>
      </c>
      <c r="D19" s="13" t="s">
        <v>686</v>
      </c>
      <c r="E19" s="13" t="s">
        <v>185</v>
      </c>
      <c r="F19" s="266" t="s">
        <v>687</v>
      </c>
      <c r="G19" s="13" t="s">
        <v>236</v>
      </c>
      <c r="H19" s="13" t="s">
        <v>145</v>
      </c>
      <c r="J19" s="13"/>
      <c r="K19" s="13"/>
      <c r="L19" s="13"/>
      <c r="M19" s="13"/>
      <c r="N19" s="13"/>
      <c r="O19" s="13"/>
      <c r="P19" s="13"/>
    </row>
    <row r="20" spans="1:16">
      <c r="A20" t="s">
        <v>313</v>
      </c>
      <c r="B20" t="str">
        <f>_xlfn.XLOOKUP(A20,'Emission Factors'!K:K,'Emission Factors'!W:W)</f>
        <v>Denmark National Inventory Report (2022)</v>
      </c>
      <c r="C20" t="s">
        <v>309</v>
      </c>
      <c r="D20" t="s">
        <v>193</v>
      </c>
      <c r="E20" t="str">
        <f t="shared" ref="E20:E39" si="0">A20&amp;C20&amp;D20</f>
        <v>BiogasGJLitre</v>
      </c>
      <c r="F20" s="267">
        <f>23/1000</f>
        <v>2.3E-2</v>
      </c>
      <c r="G20" t="s">
        <v>688</v>
      </c>
      <c r="H20" t="s">
        <v>689</v>
      </c>
      <c r="N20" s="22"/>
    </row>
    <row r="21" spans="1:16">
      <c r="A21" t="s">
        <v>316</v>
      </c>
      <c r="B21" t="str">
        <f>_xlfn.XLOOKUP(A21,'Emission Factors'!K:K,'Emission Factors'!W:W)</f>
        <v>UK Government (BEIS) Greenhouse gas reporting: conversion factors (2023) - Fuels - Gaseous fuels - Butane</v>
      </c>
      <c r="C21" t="s">
        <v>204</v>
      </c>
      <c r="D21" t="s">
        <v>193</v>
      </c>
      <c r="E21" t="str">
        <f t="shared" si="0"/>
        <v>ButanekWhLitre</v>
      </c>
      <c r="F21" s="267">
        <v>7.8475269784172665</v>
      </c>
      <c r="G21" t="s">
        <v>956</v>
      </c>
      <c r="H21" t="s">
        <v>316</v>
      </c>
      <c r="N21" s="22"/>
    </row>
    <row r="22" spans="1:16">
      <c r="A22" t="s">
        <v>191</v>
      </c>
      <c r="B22" t="str">
        <f>_xlfn.XLOOKUP(A22,'Emission Factors'!K:K,'Emission Factors'!W:W)</f>
        <v>Faroe Islands Emission Factors - Umhvørvisstovan - Denmark National Inventory Report 2021</v>
      </c>
      <c r="C22" t="s">
        <v>309</v>
      </c>
      <c r="D22" t="s">
        <v>193</v>
      </c>
      <c r="E22" t="str">
        <f t="shared" si="0"/>
        <v>Gas/diesel oilGJLitre</v>
      </c>
      <c r="F22" s="267">
        <v>3.8370048576280555E-2</v>
      </c>
      <c r="G22" t="s">
        <v>956</v>
      </c>
      <c r="H22" t="s">
        <v>690</v>
      </c>
      <c r="K22" s="292"/>
      <c r="L22" s="293"/>
      <c r="N22" s="22"/>
    </row>
    <row r="23" spans="1:16">
      <c r="A23" t="s">
        <v>196</v>
      </c>
      <c r="B23" t="str">
        <f>_xlfn.XLOOKUP(A23,'Emission Factors'!K:K,'Emission Factors'!W:W)</f>
        <v>Faroe Islands Emission Factors - Umhvørvisstovan - Denmark National Inventory Report 2021</v>
      </c>
      <c r="C23" t="s">
        <v>309</v>
      </c>
      <c r="D23" t="s">
        <v>193</v>
      </c>
      <c r="E23" t="str">
        <f t="shared" si="0"/>
        <v>Heavy fuel oilGJLitre</v>
      </c>
      <c r="F23" s="267">
        <v>4.2626894391408113E-2</v>
      </c>
      <c r="G23" t="s">
        <v>956</v>
      </c>
      <c r="H23" t="s">
        <v>691</v>
      </c>
      <c r="K23" s="292"/>
      <c r="N23" s="22"/>
    </row>
    <row r="24" spans="1:16">
      <c r="A24" t="s">
        <v>311</v>
      </c>
      <c r="B24" t="str">
        <f>_xlfn.XLOOKUP(A24,'Emission Factors'!K:K,'Emission Factors'!W:W)</f>
        <v>Faroe Islands Emission Factors - Umhvørvisstovan - Denmark National Inventory Report 2021</v>
      </c>
      <c r="C24" t="s">
        <v>309</v>
      </c>
      <c r="D24" t="s">
        <v>193</v>
      </c>
      <c r="E24" t="str">
        <f t="shared" si="0"/>
        <v>KeroseneGJLitre</v>
      </c>
      <c r="F24" s="267">
        <v>3.7056643838392023E-2</v>
      </c>
      <c r="G24" t="s">
        <v>956</v>
      </c>
      <c r="H24" t="s">
        <v>692</v>
      </c>
      <c r="K24" s="292"/>
      <c r="N24" s="22"/>
    </row>
    <row r="25" spans="1:16">
      <c r="A25" t="s">
        <v>312</v>
      </c>
      <c r="B25" t="str">
        <f>_xlfn.XLOOKUP(A25,'Emission Factors'!K:K,'Emission Factors'!W:W)</f>
        <v>Denmark National Inventory Report (2022)</v>
      </c>
      <c r="C25" t="s">
        <v>309</v>
      </c>
      <c r="D25" t="s">
        <v>193</v>
      </c>
      <c r="E25" t="str">
        <f t="shared" si="0"/>
        <v>LPGGJLitre</v>
      </c>
      <c r="F25" s="267">
        <v>2.6134197398480118E-2</v>
      </c>
      <c r="G25" t="s">
        <v>956</v>
      </c>
      <c r="H25" t="s">
        <v>312</v>
      </c>
      <c r="K25" s="292"/>
      <c r="N25" s="22"/>
    </row>
    <row r="26" spans="1:16">
      <c r="A26" t="s">
        <v>315</v>
      </c>
      <c r="B26" t="str">
        <f>_xlfn.XLOOKUP(A26,'Emission Factors'!K:K,'Emission Factors'!W:W)</f>
        <v>UK Government (BEIS) Greenhouse gas reporting: conversion factors (2023) - Fuels - Gaseous fuels - Propane</v>
      </c>
      <c r="C26" t="s">
        <v>204</v>
      </c>
      <c r="D26" t="s">
        <v>193</v>
      </c>
      <c r="E26" t="str">
        <f t="shared" si="0"/>
        <v>PropanekWhLitre</v>
      </c>
      <c r="F26" s="267">
        <v>7.2090981271309138</v>
      </c>
      <c r="G26" t="s">
        <v>956</v>
      </c>
      <c r="H26" t="s">
        <v>315</v>
      </c>
      <c r="K26" s="292"/>
      <c r="N26" s="22"/>
    </row>
    <row r="27" spans="1:16">
      <c r="A27" t="s">
        <v>317</v>
      </c>
      <c r="B27" t="str">
        <f>_xlfn.XLOOKUP(A27,'Emission Factors'!K:K,'Emission Factors'!W:W)</f>
        <v>UK Government (BEIS) Greenhouse gas reporting: conversion factors (2023) - Fuels - Liquid fuel use - Waste oils</v>
      </c>
      <c r="C27" t="s">
        <v>204</v>
      </c>
      <c r="D27" t="s">
        <v>193</v>
      </c>
      <c r="E27" t="str">
        <f t="shared" si="0"/>
        <v>Waste OilskWhLitre</v>
      </c>
      <c r="F27" s="268">
        <v>10.722178958025074</v>
      </c>
      <c r="G27" t="s">
        <v>956</v>
      </c>
      <c r="H27" t="s">
        <v>317</v>
      </c>
      <c r="K27" s="292"/>
      <c r="N27" s="22"/>
    </row>
    <row r="28" spans="1:16">
      <c r="A28" t="s">
        <v>693</v>
      </c>
      <c r="B28" t="str">
        <f>_xlfn.XLOOKUP(A28,'Emission Factors'!K:K,'Emission Factors'!W:W)</f>
        <v>UK Government (BEIS) Greenhouse gas reporting: conversion factors (2023) - Bioenergy - Biomass - Wood chips</v>
      </c>
      <c r="C28" t="s">
        <v>204</v>
      </c>
      <c r="D28" t="s">
        <v>193</v>
      </c>
      <c r="E28" t="str">
        <f t="shared" si="0"/>
        <v>Wood ChipskWhLitre</v>
      </c>
      <c r="F28" s="269" t="s">
        <v>694</v>
      </c>
      <c r="K28" s="292"/>
      <c r="N28" s="22"/>
    </row>
    <row r="29" spans="1:16">
      <c r="A29" t="s">
        <v>695</v>
      </c>
      <c r="B29" t="str">
        <f>_xlfn.XLOOKUP(A29,'Emission Factors'!K:K,'Emission Factors'!W:W)</f>
        <v>UK Government (BEIS) Greenhouse gas reporting: conversion factors (2023) - Bioenergy - Biomass - Wood logs</v>
      </c>
      <c r="C29" t="s">
        <v>204</v>
      </c>
      <c r="D29" t="s">
        <v>193</v>
      </c>
      <c r="E29" t="str">
        <f t="shared" si="0"/>
        <v>Wood LogskWhLitre</v>
      </c>
      <c r="F29" s="269" t="s">
        <v>694</v>
      </c>
      <c r="K29" s="292"/>
      <c r="N29" s="22"/>
    </row>
    <row r="30" spans="1:16">
      <c r="A30" t="s">
        <v>314</v>
      </c>
      <c r="B30" t="str">
        <f>_xlfn.XLOOKUP(A30,'Emission Factors'!K:K,'Emission Factors'!W:W)</f>
        <v>Denmark National Inventory Report (2022)</v>
      </c>
      <c r="C30" t="s">
        <v>309</v>
      </c>
      <c r="D30" t="s">
        <v>193</v>
      </c>
      <c r="E30" t="str">
        <f t="shared" si="0"/>
        <v>Wood PelletsGJLitre</v>
      </c>
      <c r="F30" s="269" t="s">
        <v>694</v>
      </c>
      <c r="K30" s="292"/>
      <c r="N30" s="22"/>
    </row>
    <row r="31" spans="1:16">
      <c r="A31" t="s">
        <v>203</v>
      </c>
      <c r="B31" t="str">
        <f>_xlfn.XLOOKUP(A31,'Emission Factors'!K:K,'Emission Factors'!W:W)</f>
        <v>Faroe Islands Emission Factors - Umhvørvisstovan - Denmark National Inventory Report 2021</v>
      </c>
      <c r="C31" t="s">
        <v>309</v>
      </c>
      <c r="D31" t="s">
        <v>193</v>
      </c>
      <c r="E31" t="str">
        <f t="shared" si="0"/>
        <v>DieselGJLitre</v>
      </c>
      <c r="F31" s="267">
        <v>3.8370048576280555E-2</v>
      </c>
      <c r="G31" t="s">
        <v>956</v>
      </c>
      <c r="H31" t="s">
        <v>696</v>
      </c>
      <c r="K31" s="292"/>
      <c r="N31" s="22"/>
    </row>
    <row r="32" spans="1:16">
      <c r="A32" t="s">
        <v>338</v>
      </c>
      <c r="B32" t="str">
        <f>_xlfn.XLOOKUP(A32,'Emission Factors'!K:K,'Emission Factors'!W:W)</f>
        <v>Faroe Islands Emission Factors - Umhvørvisstovan - Denmark National Inventory Report 2021</v>
      </c>
      <c r="C32" t="s">
        <v>309</v>
      </c>
      <c r="D32" t="s">
        <v>193</v>
      </c>
      <c r="E32" t="str">
        <f t="shared" si="0"/>
        <v>Residual oilGJLitre</v>
      </c>
      <c r="F32" s="267">
        <v>4.2626894050392966E-2</v>
      </c>
      <c r="G32" t="s">
        <v>956</v>
      </c>
      <c r="H32" t="s">
        <v>697</v>
      </c>
      <c r="K32" s="292"/>
      <c r="N32" s="22"/>
    </row>
    <row r="33" spans="1:16">
      <c r="A33" t="s">
        <v>353</v>
      </c>
      <c r="B33" t="str">
        <f>_xlfn.XLOOKUP(A33,'Emission Factors'!K:K,'Emission Factors'!W:W)</f>
        <v>Denmark National Inventory Report (2022)</v>
      </c>
      <c r="C33" t="s">
        <v>309</v>
      </c>
      <c r="D33" t="s">
        <v>193</v>
      </c>
      <c r="E33" t="str">
        <f t="shared" si="0"/>
        <v>AvGasGJLitre</v>
      </c>
      <c r="F33" s="267">
        <v>3.4419396647721756E-2</v>
      </c>
      <c r="G33" t="s">
        <v>956</v>
      </c>
      <c r="H33" t="s">
        <v>698</v>
      </c>
      <c r="K33" s="292"/>
      <c r="N33" s="22"/>
    </row>
    <row r="34" spans="1:16">
      <c r="A34" t="s">
        <v>345</v>
      </c>
      <c r="B34" t="str">
        <f>_xlfn.XLOOKUP(A34,'Emission Factors'!K:K,'Emission Factors'!W:W)</f>
        <v>Denmark National Inventory Report (2022)</v>
      </c>
      <c r="C34" t="s">
        <v>309</v>
      </c>
      <c r="D34" t="s">
        <v>193</v>
      </c>
      <c r="E34" t="str">
        <f t="shared" si="0"/>
        <v>Bio ethanolGJLitre</v>
      </c>
      <c r="F34" s="267">
        <v>2.1280615980538039E-2</v>
      </c>
      <c r="G34" t="s">
        <v>956</v>
      </c>
      <c r="H34" t="s">
        <v>699</v>
      </c>
      <c r="K34" s="292"/>
      <c r="N34" s="22"/>
    </row>
    <row r="35" spans="1:16">
      <c r="A35" t="s">
        <v>346</v>
      </c>
      <c r="B35" t="str">
        <f>_xlfn.XLOOKUP(A35,'Emission Factors'!K:K,'Emission Factors'!W:W)</f>
        <v>Denmark National Inventory Report (2022)</v>
      </c>
      <c r="C35" t="s">
        <v>309</v>
      </c>
      <c r="D35" t="s">
        <v>193</v>
      </c>
      <c r="E35" t="str">
        <f t="shared" si="0"/>
        <v>BiodieselGJLitre</v>
      </c>
      <c r="F35" s="267">
        <v>3.3107294831024522E-2</v>
      </c>
      <c r="G35" t="s">
        <v>956</v>
      </c>
      <c r="H35" t="s">
        <v>700</v>
      </c>
      <c r="K35" s="292"/>
      <c r="N35" s="22"/>
    </row>
    <row r="36" spans="1:16">
      <c r="A36" t="s">
        <v>207</v>
      </c>
      <c r="B36" t="str">
        <f>_xlfn.XLOOKUP(A36,'Emission Factors'!K:K,'Emission Factors'!W:W)</f>
        <v>Denmark National Inventory Report (2022)</v>
      </c>
      <c r="C36" t="s">
        <v>309</v>
      </c>
      <c r="D36" t="s">
        <v>193</v>
      </c>
      <c r="E36" t="str">
        <f t="shared" si="0"/>
        <v>GasolineGJLitre</v>
      </c>
      <c r="F36" s="267">
        <v>3.4868852180065579E-2</v>
      </c>
      <c r="G36" t="s">
        <v>956</v>
      </c>
      <c r="H36" t="s">
        <v>701</v>
      </c>
      <c r="K36" s="292"/>
      <c r="N36" s="22"/>
    </row>
    <row r="37" spans="1:16">
      <c r="A37" t="s">
        <v>354</v>
      </c>
      <c r="B37" t="str">
        <f>_xlfn.XLOOKUP(A37,'Emission Factors'!K:K,'Emission Factors'!W:W)</f>
        <v>Denmark National Inventory Report (2022)</v>
      </c>
      <c r="C37" t="s">
        <v>309</v>
      </c>
      <c r="D37" t="s">
        <v>193</v>
      </c>
      <c r="E37" t="str">
        <f t="shared" si="0"/>
        <v>Jet FuelGJLitre</v>
      </c>
      <c r="F37" s="267">
        <v>3.6972415167056599E-2</v>
      </c>
      <c r="G37" t="s">
        <v>956</v>
      </c>
      <c r="H37" t="s">
        <v>702</v>
      </c>
      <c r="K37" s="292"/>
      <c r="N37" s="22"/>
    </row>
    <row r="38" spans="1:16">
      <c r="A38" t="s">
        <v>358</v>
      </c>
      <c r="B38" t="str">
        <f>_xlfn.XLOOKUP(A38,'Emission Factors'!K:K,'Emission Factors'!W:W)</f>
        <v>UK Government (BEIS) Greenhouse gas reporting: conversion factors (2023) - Bioenergy - Biofuel - Biodiesel HVO</v>
      </c>
      <c r="C38" t="s">
        <v>309</v>
      </c>
      <c r="D38" t="s">
        <v>193</v>
      </c>
      <c r="E38" t="str">
        <f t="shared" si="0"/>
        <v>HVOGJLitre</v>
      </c>
      <c r="F38" s="268">
        <v>3.431812263086316E-2</v>
      </c>
      <c r="G38" t="s">
        <v>956</v>
      </c>
      <c r="H38" t="s">
        <v>703</v>
      </c>
      <c r="K38" s="292"/>
      <c r="N38" s="22"/>
    </row>
    <row r="39" spans="1:16">
      <c r="A39" t="s">
        <v>248</v>
      </c>
      <c r="B39" t="str">
        <f>_xlfn.XLOOKUP(A39,'Emission Factors'!K:K,'Emission Factors'!W:W)</f>
        <v>UK Government (BEIS) Greenhouse gas reporting: conversion factors (2023) - Fuels - Liquid fuels - Marine gas oil</v>
      </c>
      <c r="C39" t="s">
        <v>204</v>
      </c>
      <c r="D39" t="s">
        <v>193</v>
      </c>
      <c r="E39" t="str">
        <f t="shared" si="0"/>
        <v>Marine Gas OilkWhLitre</v>
      </c>
      <c r="F39" s="268">
        <v>10.742752080510938</v>
      </c>
      <c r="G39" t="s">
        <v>956</v>
      </c>
      <c r="H39" t="s">
        <v>248</v>
      </c>
      <c r="K39" s="292"/>
      <c r="N39" s="22"/>
    </row>
    <row r="40" spans="1:16">
      <c r="F40" s="268"/>
      <c r="N40" s="22"/>
    </row>
    <row r="41" spans="1:16">
      <c r="F41" s="268"/>
      <c r="N41" s="22"/>
    </row>
    <row r="42" spans="1:16">
      <c r="A42" s="13" t="s">
        <v>704</v>
      </c>
      <c r="F42" s="269"/>
      <c r="N42" s="24"/>
    </row>
    <row r="43" spans="1:16">
      <c r="A43" s="13" t="s">
        <v>684</v>
      </c>
      <c r="B43" s="13" t="s">
        <v>305</v>
      </c>
      <c r="C43" s="13" t="s">
        <v>685</v>
      </c>
      <c r="D43" s="13" t="s">
        <v>686</v>
      </c>
      <c r="E43" s="13" t="s">
        <v>185</v>
      </c>
      <c r="F43" s="266" t="s">
        <v>687</v>
      </c>
      <c r="H43" s="13" t="s">
        <v>705</v>
      </c>
      <c r="P43" s="23"/>
    </row>
    <row r="44" spans="1:16">
      <c r="A44" t="s">
        <v>313</v>
      </c>
      <c r="B44" t="str">
        <f>_xlfn.XLOOKUP(A44,'Emission Factors'!K:K,'Emission Factors'!W:W)</f>
        <v>Denmark National Inventory Report (2022)</v>
      </c>
      <c r="C44" t="s">
        <v>309</v>
      </c>
      <c r="D44" t="s">
        <v>706</v>
      </c>
      <c r="E44" t="str">
        <f t="shared" ref="E44:E63" si="1">A44&amp;C44&amp;D44</f>
        <v>BiogasGJTonne</v>
      </c>
      <c r="F44" s="268">
        <v>19.884763636363633</v>
      </c>
      <c r="G44" t="s">
        <v>956</v>
      </c>
      <c r="H44" t="s">
        <v>313</v>
      </c>
      <c r="P44" s="23"/>
    </row>
    <row r="45" spans="1:16">
      <c r="A45" t="s">
        <v>316</v>
      </c>
      <c r="B45" t="str">
        <f>_xlfn.XLOOKUP(A45,'Emission Factors'!K:K,'Emission Factors'!W:W)</f>
        <v>UK Government (BEIS) Greenhouse gas reporting: conversion factors (2023) - Fuels - Gaseous fuels - Butane</v>
      </c>
      <c r="C45" t="s">
        <v>204</v>
      </c>
      <c r="D45" t="s">
        <v>706</v>
      </c>
      <c r="E45" t="str">
        <f t="shared" si="1"/>
        <v>ButanekWhTonne</v>
      </c>
      <c r="F45" s="270">
        <v>13639.028776978419</v>
      </c>
      <c r="G45" t="s">
        <v>956</v>
      </c>
      <c r="H45" t="s">
        <v>316</v>
      </c>
      <c r="K45" s="292"/>
      <c r="P45" s="23"/>
    </row>
    <row r="46" spans="1:16">
      <c r="A46" t="s">
        <v>191</v>
      </c>
      <c r="B46" t="str">
        <f>_xlfn.XLOOKUP(A46,'Emission Factors'!K:K,'Emission Factors'!W:W)</f>
        <v>Faroe Islands Emission Factors - Umhvørvisstovan - Denmark National Inventory Report 2021</v>
      </c>
      <c r="C46" t="s">
        <v>309</v>
      </c>
      <c r="D46" t="s">
        <v>706</v>
      </c>
      <c r="E46" t="str">
        <f t="shared" si="1"/>
        <v>Gas/diesel oilGJTonne</v>
      </c>
      <c r="F46" s="270">
        <v>45.285700255774181</v>
      </c>
      <c r="G46" t="s">
        <v>956</v>
      </c>
      <c r="H46" t="s">
        <v>690</v>
      </c>
      <c r="K46" s="292"/>
      <c r="P46" s="23"/>
    </row>
    <row r="47" spans="1:16">
      <c r="A47" t="s">
        <v>196</v>
      </c>
      <c r="B47" t="str">
        <f>_xlfn.XLOOKUP(A47,'Emission Factors'!K:K,'Emission Factors'!W:W)</f>
        <v>Faroe Islands Emission Factors - Umhvørvisstovan - Denmark National Inventory Report 2021</v>
      </c>
      <c r="C47" t="s">
        <v>309</v>
      </c>
      <c r="D47" t="s">
        <v>706</v>
      </c>
      <c r="E47" t="str">
        <f t="shared" si="1"/>
        <v>Heavy fuel oilGJTonne</v>
      </c>
      <c r="F47" s="270">
        <v>43.351397299789085</v>
      </c>
      <c r="G47" t="s">
        <v>956</v>
      </c>
      <c r="H47" t="s">
        <v>691</v>
      </c>
      <c r="K47" s="292"/>
      <c r="P47" s="23"/>
    </row>
    <row r="48" spans="1:16">
      <c r="A48" t="s">
        <v>311</v>
      </c>
      <c r="B48" t="str">
        <f>_xlfn.XLOOKUP(A48,'Emission Factors'!K:K,'Emission Factors'!W:W)</f>
        <v>Faroe Islands Emission Factors - Umhvørvisstovan - Denmark National Inventory Report 2021</v>
      </c>
      <c r="C48" t="s">
        <v>309</v>
      </c>
      <c r="D48" t="s">
        <v>706</v>
      </c>
      <c r="E48" t="str">
        <f t="shared" si="1"/>
        <v>KeroseneGJTonne</v>
      </c>
      <c r="F48" s="270">
        <v>46.172658284145115</v>
      </c>
      <c r="G48" t="s">
        <v>956</v>
      </c>
      <c r="H48" t="s">
        <v>692</v>
      </c>
      <c r="K48" s="292"/>
      <c r="P48" s="23"/>
    </row>
    <row r="49" spans="1:16">
      <c r="A49" t="s">
        <v>312</v>
      </c>
      <c r="B49" t="str">
        <f>_xlfn.XLOOKUP(A49,'Emission Factors'!K:K,'Emission Factors'!W:W)</f>
        <v>Denmark National Inventory Report (2022)</v>
      </c>
      <c r="C49" t="s">
        <v>309</v>
      </c>
      <c r="D49" t="s">
        <v>706</v>
      </c>
      <c r="E49" t="str">
        <f t="shared" si="1"/>
        <v>LPGGJTonne</v>
      </c>
      <c r="F49" s="270">
        <v>49.333001701019029</v>
      </c>
      <c r="G49" t="s">
        <v>956</v>
      </c>
      <c r="H49" t="s">
        <v>312</v>
      </c>
      <c r="K49" s="292"/>
      <c r="P49" s="23"/>
    </row>
    <row r="50" spans="1:16">
      <c r="A50" t="s">
        <v>315</v>
      </c>
      <c r="B50" t="str">
        <f>_xlfn.XLOOKUP(A50,'Emission Factors'!K:K,'Emission Factors'!W:W)</f>
        <v>UK Government (BEIS) Greenhouse gas reporting: conversion factors (2023) - Fuels - Gaseous fuels - Propane</v>
      </c>
      <c r="C50" t="s">
        <v>204</v>
      </c>
      <c r="D50" t="s">
        <v>706</v>
      </c>
      <c r="E50" t="str">
        <f t="shared" si="1"/>
        <v>PropanekWhTonne</v>
      </c>
      <c r="F50" s="270">
        <v>14000.04670496474</v>
      </c>
      <c r="G50" t="s">
        <v>956</v>
      </c>
      <c r="H50" t="s">
        <v>315</v>
      </c>
      <c r="K50" s="292"/>
      <c r="P50" s="23"/>
    </row>
    <row r="51" spans="1:16">
      <c r="A51" t="s">
        <v>317</v>
      </c>
      <c r="B51" t="str">
        <f>_xlfn.XLOOKUP(A51,'Emission Factors'!K:K,'Emission Factors'!W:W)</f>
        <v>UK Government (BEIS) Greenhouse gas reporting: conversion factors (2023) - Fuels - Liquid fuel use - Waste oils</v>
      </c>
      <c r="C51" t="s">
        <v>204</v>
      </c>
      <c r="D51" t="s">
        <v>706</v>
      </c>
      <c r="E51" t="str">
        <f t="shared" si="1"/>
        <v>Waste OilskWhTonne</v>
      </c>
      <c r="F51" s="270">
        <v>12555.758897282145</v>
      </c>
      <c r="G51" t="s">
        <v>956</v>
      </c>
      <c r="H51" t="s">
        <v>317</v>
      </c>
      <c r="K51" s="292"/>
      <c r="P51" s="23"/>
    </row>
    <row r="52" spans="1:16">
      <c r="A52" t="s">
        <v>693</v>
      </c>
      <c r="B52" t="str">
        <f>_xlfn.XLOOKUP(A52,'Emission Factors'!K:K,'Emission Factors'!W:W)</f>
        <v>UK Government (BEIS) Greenhouse gas reporting: conversion factors (2023) - Bioenergy - Biomass - Wood chips</v>
      </c>
      <c r="C52" t="s">
        <v>204</v>
      </c>
      <c r="D52" t="s">
        <v>706</v>
      </c>
      <c r="E52" t="str">
        <f t="shared" si="1"/>
        <v>Wood ChipskWhTonne</v>
      </c>
      <c r="F52" s="270">
        <v>3778.5688509021847</v>
      </c>
      <c r="G52" t="s">
        <v>956</v>
      </c>
      <c r="H52" t="s">
        <v>693</v>
      </c>
      <c r="K52" s="292"/>
      <c r="P52" s="23"/>
    </row>
    <row r="53" spans="1:16">
      <c r="A53" t="s">
        <v>695</v>
      </c>
      <c r="B53" t="str">
        <f>_xlfn.XLOOKUP(A53,'Emission Factors'!K:K,'Emission Factors'!W:W)</f>
        <v>UK Government (BEIS) Greenhouse gas reporting: conversion factors (2023) - Bioenergy - Biomass - Wood logs</v>
      </c>
      <c r="C53" t="s">
        <v>204</v>
      </c>
      <c r="D53" t="s">
        <v>706</v>
      </c>
      <c r="E53" t="str">
        <f t="shared" si="1"/>
        <v>Wood LogskWhTonne</v>
      </c>
      <c r="F53" s="270">
        <v>4086.9667616334286</v>
      </c>
      <c r="G53" t="s">
        <v>956</v>
      </c>
      <c r="H53" t="s">
        <v>695</v>
      </c>
      <c r="K53" s="292"/>
      <c r="P53" s="23"/>
    </row>
    <row r="54" spans="1:16">
      <c r="A54" t="s">
        <v>314</v>
      </c>
      <c r="B54" t="str">
        <f>_xlfn.XLOOKUP(A54,'Emission Factors'!K:K,'Emission Factors'!W:W)</f>
        <v>Denmark National Inventory Report (2022)</v>
      </c>
      <c r="C54" t="s">
        <v>309</v>
      </c>
      <c r="D54" t="s">
        <v>706</v>
      </c>
      <c r="E54" t="str">
        <f t="shared" si="1"/>
        <v>Wood PelletsGJTonne</v>
      </c>
      <c r="F54" s="270">
        <v>17.283606685935162</v>
      </c>
      <c r="G54" t="s">
        <v>956</v>
      </c>
      <c r="H54" t="s">
        <v>707</v>
      </c>
      <c r="K54" s="292"/>
      <c r="P54" s="23"/>
    </row>
    <row r="55" spans="1:16">
      <c r="A55" t="s">
        <v>203</v>
      </c>
      <c r="B55" t="str">
        <f>_xlfn.XLOOKUP(A55,'Emission Factors'!K:K,'Emission Factors'!W:W)</f>
        <v>Faroe Islands Emission Factors - Umhvørvisstovan - Denmark National Inventory Report 2021</v>
      </c>
      <c r="C55" t="s">
        <v>309</v>
      </c>
      <c r="D55" t="s">
        <v>706</v>
      </c>
      <c r="E55" t="str">
        <f t="shared" si="1"/>
        <v>DieselGJTonne</v>
      </c>
      <c r="F55" s="270">
        <v>45.62034184581411</v>
      </c>
      <c r="G55" t="s">
        <v>956</v>
      </c>
      <c r="H55" t="s">
        <v>696</v>
      </c>
      <c r="K55" s="292"/>
      <c r="P55" s="23"/>
    </row>
    <row r="56" spans="1:16">
      <c r="A56" t="s">
        <v>338</v>
      </c>
      <c r="B56" t="str">
        <f>_xlfn.XLOOKUP(A56,'Emission Factors'!K:K,'Emission Factors'!W:W)</f>
        <v>Faroe Islands Emission Factors - Umhvørvisstovan - Denmark National Inventory Report 2021</v>
      </c>
      <c r="C56" t="s">
        <v>309</v>
      </c>
      <c r="D56" t="s">
        <v>706</v>
      </c>
      <c r="E56" t="str">
        <f t="shared" si="1"/>
        <v>Residual oilGJTonne</v>
      </c>
      <c r="F56" s="270">
        <v>43.351085172225545</v>
      </c>
      <c r="G56" t="s">
        <v>956</v>
      </c>
      <c r="H56" t="s">
        <v>697</v>
      </c>
      <c r="K56" s="292"/>
      <c r="P56" s="23"/>
    </row>
    <row r="57" spans="1:16">
      <c r="A57" t="s">
        <v>353</v>
      </c>
      <c r="B57" t="str">
        <f>_xlfn.XLOOKUP(A57,'Emission Factors'!K:K,'Emission Factors'!W:W)</f>
        <v>Denmark National Inventory Report (2022)</v>
      </c>
      <c r="C57" t="s">
        <v>309</v>
      </c>
      <c r="D57" t="s">
        <v>706</v>
      </c>
      <c r="E57" t="str">
        <f t="shared" si="1"/>
        <v>AvGasGJTonne</v>
      </c>
      <c r="F57" s="270">
        <v>47.154231996913268</v>
      </c>
      <c r="G57" t="s">
        <v>956</v>
      </c>
      <c r="H57" t="s">
        <v>708</v>
      </c>
      <c r="K57" s="292"/>
      <c r="P57" s="23"/>
    </row>
    <row r="58" spans="1:16">
      <c r="A58" t="s">
        <v>345</v>
      </c>
      <c r="B58" t="str">
        <f>_xlfn.XLOOKUP(A58,'Emission Factors'!K:K,'Emission Factors'!W:W)</f>
        <v>Denmark National Inventory Report (2022)</v>
      </c>
      <c r="C58" t="s">
        <v>309</v>
      </c>
      <c r="D58" t="s">
        <v>706</v>
      </c>
      <c r="E58" t="str">
        <f t="shared" si="1"/>
        <v>Bio ethanolGJTonne</v>
      </c>
      <c r="F58" s="270">
        <v>26.807435225206078</v>
      </c>
      <c r="G58" t="s">
        <v>956</v>
      </c>
      <c r="H58" t="s">
        <v>699</v>
      </c>
      <c r="K58" s="292"/>
      <c r="P58" s="23"/>
    </row>
    <row r="59" spans="1:16">
      <c r="A59" t="s">
        <v>346</v>
      </c>
      <c r="B59" t="str">
        <f>_xlfn.XLOOKUP(A59,'Emission Factors'!K:K,'Emission Factors'!W:W)</f>
        <v>Denmark National Inventory Report (2022)</v>
      </c>
      <c r="C59" t="s">
        <v>309</v>
      </c>
      <c r="D59" t="s">
        <v>706</v>
      </c>
      <c r="E59" t="str">
        <f t="shared" si="1"/>
        <v>BiodieselGJTonne</v>
      </c>
      <c r="F59" s="270">
        <v>37.200495690379299</v>
      </c>
      <c r="G59" t="s">
        <v>956</v>
      </c>
      <c r="H59" t="s">
        <v>700</v>
      </c>
      <c r="K59" s="292"/>
      <c r="P59" s="23"/>
    </row>
    <row r="60" spans="1:16">
      <c r="A60" t="s">
        <v>207</v>
      </c>
      <c r="B60" t="str">
        <f>_xlfn.XLOOKUP(A60,'Emission Factors'!K:K,'Emission Factors'!W:W)</f>
        <v>Denmark National Inventory Report (2022)</v>
      </c>
      <c r="C60" t="s">
        <v>309</v>
      </c>
      <c r="D60" t="s">
        <v>706</v>
      </c>
      <c r="E60" t="str">
        <f t="shared" si="1"/>
        <v>GasolineGJTonne</v>
      </c>
      <c r="F60" s="270">
        <v>47.002604605094618</v>
      </c>
      <c r="G60" t="s">
        <v>956</v>
      </c>
      <c r="H60" t="s">
        <v>701</v>
      </c>
      <c r="K60" s="292"/>
      <c r="P60" s="23"/>
    </row>
    <row r="61" spans="1:16">
      <c r="A61" t="s">
        <v>354</v>
      </c>
      <c r="B61" t="str">
        <f>_xlfn.XLOOKUP(A61,'Emission Factors'!K:K,'Emission Factors'!W:W)</f>
        <v>Denmark National Inventory Report (2022)</v>
      </c>
      <c r="C61" t="s">
        <v>309</v>
      </c>
      <c r="D61" t="s">
        <v>706</v>
      </c>
      <c r="E61" t="str">
        <f t="shared" si="1"/>
        <v>Jet FuelGJTonne</v>
      </c>
      <c r="F61" s="270">
        <v>46.215222240129926</v>
      </c>
      <c r="G61" t="s">
        <v>956</v>
      </c>
      <c r="H61" t="s">
        <v>702</v>
      </c>
      <c r="K61" s="292"/>
      <c r="P61" s="23"/>
    </row>
    <row r="62" spans="1:16">
      <c r="A62" t="s">
        <v>358</v>
      </c>
      <c r="B62" t="str">
        <f>_xlfn.XLOOKUP(A62,'Emission Factors'!K:K,'Emission Factors'!W:W)</f>
        <v>UK Government (BEIS) Greenhouse gas reporting: conversion factors (2023) - Bioenergy - Biofuel - Biodiesel HVO</v>
      </c>
      <c r="C62" t="s">
        <v>309</v>
      </c>
      <c r="D62" t="s">
        <v>706</v>
      </c>
      <c r="E62" t="str">
        <f t="shared" si="1"/>
        <v>HVOGJTonne</v>
      </c>
      <c r="F62" s="270">
        <v>44.002044812253438</v>
      </c>
      <c r="G62" t="s">
        <v>956</v>
      </c>
      <c r="H62" t="s">
        <v>703</v>
      </c>
      <c r="K62" s="292"/>
      <c r="P62" s="23"/>
    </row>
    <row r="63" spans="1:16">
      <c r="A63" t="s">
        <v>248</v>
      </c>
      <c r="B63" t="str">
        <f>_xlfn.XLOOKUP(A63,'Emission Factors'!K:K,'Emission Factors'!W:W)</f>
        <v>UK Government (BEIS) Greenhouse gas reporting: conversion factors (2023) - Fuels - Liquid fuels - Marine gas oil</v>
      </c>
      <c r="C63" t="s">
        <v>204</v>
      </c>
      <c r="D63" t="s">
        <v>706</v>
      </c>
      <c r="E63" t="str">
        <f t="shared" si="1"/>
        <v>Marine Gas OilkWhTonne</v>
      </c>
      <c r="F63" s="270">
        <v>12579.794851945036</v>
      </c>
      <c r="G63" t="s">
        <v>956</v>
      </c>
      <c r="H63" t="s">
        <v>248</v>
      </c>
      <c r="K63" s="292"/>
    </row>
    <row r="64" spans="1:16">
      <c r="F64" s="269"/>
    </row>
    <row r="65" spans="1:11">
      <c r="F65" s="269"/>
    </row>
    <row r="66" spans="1:11">
      <c r="A66" s="13" t="s">
        <v>709</v>
      </c>
      <c r="F66" s="269"/>
    </row>
    <row r="67" spans="1:11">
      <c r="A67" s="13" t="s">
        <v>684</v>
      </c>
      <c r="B67" s="13" t="s">
        <v>305</v>
      </c>
      <c r="C67" s="13" t="s">
        <v>685</v>
      </c>
      <c r="D67" s="13" t="s">
        <v>686</v>
      </c>
      <c r="E67" s="13" t="s">
        <v>185</v>
      </c>
      <c r="F67" s="266" t="s">
        <v>687</v>
      </c>
    </row>
    <row r="68" spans="1:11">
      <c r="A68" t="s">
        <v>191</v>
      </c>
      <c r="B68" t="str">
        <f>_xlfn.XLOOKUP(A68,'Emission Factors'!$K$432:$K$757,'Emission Factors'!$W$432:$W$757)</f>
        <v xml:space="preserve">UK Government (BEIS) Greenhouse gas reporting: conversion factors (2023) - WTT - Fuels - Liquid fuels - Gas Oil </v>
      </c>
      <c r="C68" t="s">
        <v>204</v>
      </c>
      <c r="D68" t="s">
        <v>193</v>
      </c>
      <c r="E68" t="str">
        <f t="shared" ref="E68:E84" si="2">A68&amp;C68&amp;D68</f>
        <v>Gas/diesel oilkWhLitre</v>
      </c>
      <c r="F68" s="271">
        <v>10.7425133377468</v>
      </c>
      <c r="G68" t="s">
        <v>956</v>
      </c>
      <c r="H68" t="s">
        <v>690</v>
      </c>
      <c r="K68" s="292"/>
    </row>
    <row r="69" spans="1:11">
      <c r="A69" t="s">
        <v>196</v>
      </c>
      <c r="B69" t="str">
        <f>_xlfn.XLOOKUP(A69,'Emission Factors'!$K$432:$K$757,'Emission Factors'!$W$432:$W$757)</f>
        <v xml:space="preserve">UK Government (BEIS) Greenhouse gas reporting: conversion factors (2023) - WTT - Fuels - Liquid fuels - Fuel Oil </v>
      </c>
      <c r="C69" t="s">
        <v>204</v>
      </c>
      <c r="D69" t="s">
        <v>193</v>
      </c>
      <c r="E69" t="str">
        <f t="shared" si="2"/>
        <v>Heavy fuel oilkWhLitre</v>
      </c>
      <c r="F69" s="271">
        <v>11.840803997613365</v>
      </c>
      <c r="G69" t="s">
        <v>956</v>
      </c>
      <c r="H69" t="s">
        <v>691</v>
      </c>
      <c r="K69" s="292"/>
    </row>
    <row r="70" spans="1:11">
      <c r="A70" t="s">
        <v>311</v>
      </c>
      <c r="B70" t="str">
        <f>_xlfn.XLOOKUP(A70,'Emission Factors'!$K$432:$K$757,'Emission Factors'!$W$432:$W$757)</f>
        <v xml:space="preserve">UK Government (BEIS) Greenhouse gas reporting: conversion factors (2023) - WTT - Fuels - Liquid fuels - Kerosene </v>
      </c>
      <c r="C70" t="s">
        <v>204</v>
      </c>
      <c r="D70" t="s">
        <v>193</v>
      </c>
      <c r="E70" t="str">
        <f t="shared" si="2"/>
        <v>KerosenekWhLitre</v>
      </c>
      <c r="F70" s="271">
        <v>10.293512177331117</v>
      </c>
      <c r="G70" t="s">
        <v>956</v>
      </c>
      <c r="H70" t="s">
        <v>692</v>
      </c>
      <c r="K70" s="292"/>
    </row>
    <row r="71" spans="1:11">
      <c r="A71" t="s">
        <v>312</v>
      </c>
      <c r="B71" t="str">
        <f>_xlfn.XLOOKUP(A71,'Emission Factors'!$K$432:$K$757,'Emission Factors'!$W$432:$W$757)</f>
        <v xml:space="preserve">UK Government (BEIS) Greenhouse gas reporting: conversion factors (2023) - WTT - Fuels - Liquid fuels - LPG </v>
      </c>
      <c r="C71" t="s">
        <v>204</v>
      </c>
      <c r="D71" t="s">
        <v>193</v>
      </c>
      <c r="E71" t="str">
        <f t="shared" si="2"/>
        <v>LPGkWhLitre</v>
      </c>
      <c r="F71" s="271">
        <v>7.2594992773555882</v>
      </c>
      <c r="G71" t="s">
        <v>956</v>
      </c>
      <c r="H71" t="s">
        <v>312</v>
      </c>
      <c r="K71" s="292"/>
    </row>
    <row r="72" spans="1:11">
      <c r="A72" t="s">
        <v>313</v>
      </c>
      <c r="B72" t="str">
        <f>_xlfn.XLOOKUP(A72,'Emission Factors'!$K$432:$K$757,'Emission Factors'!$W$432:$W$757)</f>
        <v>UK Government (BEIS) Greenhouse gas reporting: conversion factors (2023) - WTT - Bioenergy - WTT Biogas - Biogas - kWh</v>
      </c>
      <c r="C72" t="s">
        <v>204</v>
      </c>
      <c r="D72" t="s">
        <v>193</v>
      </c>
      <c r="E72" t="str">
        <f t="shared" si="2"/>
        <v>BiogaskWhLitre</v>
      </c>
      <c r="F72" s="271">
        <v>6.3888888888888884</v>
      </c>
      <c r="G72" t="s">
        <v>688</v>
      </c>
      <c r="H72" t="s">
        <v>689</v>
      </c>
      <c r="K72" s="292"/>
    </row>
    <row r="73" spans="1:11">
      <c r="A73" t="s">
        <v>314</v>
      </c>
      <c r="B73" t="str">
        <f>_xlfn.XLOOKUP(A73,'Emission Factors'!$K$432:$K$757,'Emission Factors'!$W$432:$W$757)</f>
        <v>UK Government (BEIS) Greenhouse gas reporting: conversion factors (2023) - WTT - Bioenergy - WTT - Biomass - Wood Pellets</v>
      </c>
      <c r="C73" t="s">
        <v>204</v>
      </c>
      <c r="D73" t="s">
        <v>193</v>
      </c>
      <c r="E73" t="str">
        <f t="shared" si="2"/>
        <v>Wood PelletskWhLitre</v>
      </c>
      <c r="F73" s="271" t="s">
        <v>694</v>
      </c>
      <c r="H73" t="s">
        <v>314</v>
      </c>
      <c r="K73" s="292"/>
    </row>
    <row r="74" spans="1:11">
      <c r="A74" t="s">
        <v>315</v>
      </c>
      <c r="B74" t="str">
        <f>_xlfn.XLOOKUP(A74,'Emission Factors'!$K$432:$K$757,'Emission Factors'!$W$432:$W$757)</f>
        <v xml:space="preserve">UK Government (BEIS) Greenhouse gas reporting: conversion factors (2023) - WTT - Fuels - Liquid fuels - Propane </v>
      </c>
      <c r="C74" t="s">
        <v>204</v>
      </c>
      <c r="D74" t="s">
        <v>193</v>
      </c>
      <c r="E74" t="str">
        <f t="shared" si="2"/>
        <v>PropanekWhLitre</v>
      </c>
      <c r="F74" s="271">
        <v>7.2090981271309138</v>
      </c>
      <c r="G74" t="s">
        <v>956</v>
      </c>
      <c r="H74" t="s">
        <v>315</v>
      </c>
      <c r="K74" s="292"/>
    </row>
    <row r="75" spans="1:11">
      <c r="A75" t="s">
        <v>316</v>
      </c>
      <c r="B75" t="str">
        <f>_xlfn.XLOOKUP(A75,'Emission Factors'!$K$432:$K$757,'Emission Factors'!$W$432:$W$757)</f>
        <v xml:space="preserve">UK Government (BEIS) Greenhouse gas reporting: conversion factors (2023) - WTT - Fuels - Liquid fuels -Butane </v>
      </c>
      <c r="C75" t="s">
        <v>204</v>
      </c>
      <c r="D75" t="s">
        <v>193</v>
      </c>
      <c r="E75" t="str">
        <f t="shared" si="2"/>
        <v>ButanekWhLitre</v>
      </c>
      <c r="F75" s="271">
        <v>7.8475269784172665</v>
      </c>
      <c r="G75" t="s">
        <v>956</v>
      </c>
      <c r="H75" t="s">
        <v>316</v>
      </c>
      <c r="K75" s="292"/>
    </row>
    <row r="76" spans="1:11">
      <c r="A76" t="s">
        <v>317</v>
      </c>
      <c r="B76" t="str">
        <f>_xlfn.XLOOKUP(A76,'Emission Factors'!$K$432:$K$757,'Emission Factors'!$W$432:$W$757)</f>
        <v xml:space="preserve">UK Government (BEIS) Greenhouse gas reporting: conversion factors (2023) - WTT - Fuels - Liquid fuels -Waste Oils </v>
      </c>
      <c r="C76" t="s">
        <v>204</v>
      </c>
      <c r="D76" t="s">
        <v>193</v>
      </c>
      <c r="E76" t="str">
        <f t="shared" si="2"/>
        <v>Waste OilskWhLitre</v>
      </c>
      <c r="F76" s="271">
        <v>10.7425133377468</v>
      </c>
      <c r="G76" t="s">
        <v>956</v>
      </c>
      <c r="H76" t="s">
        <v>710</v>
      </c>
      <c r="K76" s="292"/>
    </row>
    <row r="77" spans="1:11">
      <c r="A77" t="s">
        <v>318</v>
      </c>
      <c r="B77" t="str">
        <f>_xlfn.XLOOKUP(A77,'Emission Factors'!$K$432:$K$757,'Emission Factors'!$W$432:$W$757)</f>
        <v>UK Government (BEIS) Greenhouse gas reporting: conversion factors (2023) - WTT - Bioenergy - WTT -  Biomass - Wood logs</v>
      </c>
      <c r="C77" t="s">
        <v>204</v>
      </c>
      <c r="D77" t="s">
        <v>193</v>
      </c>
      <c r="E77" t="str">
        <f t="shared" si="2"/>
        <v>Wood logskWhLitre</v>
      </c>
      <c r="F77" s="271" t="s">
        <v>694</v>
      </c>
      <c r="H77" t="s">
        <v>695</v>
      </c>
      <c r="K77" s="292"/>
    </row>
    <row r="78" spans="1:11">
      <c r="A78" t="s">
        <v>319</v>
      </c>
      <c r="B78" t="str">
        <f>_xlfn.XLOOKUP(A78,'Emission Factors'!$K$432:$K$757,'Emission Factors'!$W$432:$W$757)</f>
        <v>UK Government (BEIS) Greenhouse gas reporting: conversion factors (2023) - WTT - Bioenergy - WTT - Biomass -  Wood chips</v>
      </c>
      <c r="C78" t="s">
        <v>204</v>
      </c>
      <c r="D78" t="s">
        <v>193</v>
      </c>
      <c r="E78" t="str">
        <f t="shared" si="2"/>
        <v>Wood chipskWhLitre</v>
      </c>
      <c r="F78" s="271" t="s">
        <v>694</v>
      </c>
      <c r="H78" t="s">
        <v>693</v>
      </c>
      <c r="K78" s="292"/>
    </row>
    <row r="79" spans="1:11">
      <c r="A79" t="s">
        <v>203</v>
      </c>
      <c r="B79" t="str">
        <f>_xlfn.XLOOKUP(A79,'Emission Factors'!$K$432:$K$757,'Emission Factors'!$W$432:$W$757)</f>
        <v xml:space="preserve">UK Government (BEIS) Greenhouse gas reporting: conversion factors (2023) - WTT - Fuels - Liquid fuels - Diesel (100% mineral diesel) </v>
      </c>
      <c r="C79" t="s">
        <v>204</v>
      </c>
      <c r="D79" t="s">
        <v>193</v>
      </c>
      <c r="E79" t="str">
        <f t="shared" si="2"/>
        <v>DieselkWhLitre</v>
      </c>
      <c r="F79" s="271">
        <v>10.6583468267446</v>
      </c>
      <c r="G79" t="s">
        <v>956</v>
      </c>
      <c r="H79" t="s">
        <v>696</v>
      </c>
      <c r="K79" s="292"/>
    </row>
    <row r="80" spans="1:11">
      <c r="A80" t="s">
        <v>338</v>
      </c>
      <c r="B80" t="str">
        <f>_xlfn.XLOOKUP(A80,'Emission Factors'!$K$432:$K$757,'Emission Factors'!$W$432:$W$757)</f>
        <v xml:space="preserve">UK Government (BEIS) Greenhouse gas reporting: conversion factors (2023) - WTT - Fuels - Liquid fuels - Processed fuel oils (residual oil) </v>
      </c>
      <c r="C80" t="s">
        <v>204</v>
      </c>
      <c r="D80" t="s">
        <v>193</v>
      </c>
      <c r="E80" t="str">
        <f t="shared" si="2"/>
        <v>Residual oilkWhLitre</v>
      </c>
      <c r="F80" s="271">
        <v>11.840803997613365</v>
      </c>
      <c r="G80" t="s">
        <v>956</v>
      </c>
      <c r="H80" t="s">
        <v>697</v>
      </c>
      <c r="K80" s="292"/>
    </row>
    <row r="81" spans="1:11">
      <c r="A81" t="s">
        <v>207</v>
      </c>
      <c r="B81" t="str">
        <f>_xlfn.XLOOKUP(A81,'Emission Factors'!$K$432:$K$757,'Emission Factors'!$W$432:$W$757)</f>
        <v xml:space="preserve">UK Government (BEIS) Greenhouse gas reporting: conversion factors (2023) - WTT - Fuels - Liquid fuels - Petrol (100% mineral petrol) </v>
      </c>
      <c r="C81" t="s">
        <v>204</v>
      </c>
      <c r="D81" t="s">
        <v>193</v>
      </c>
      <c r="E81" t="str">
        <f t="shared" si="2"/>
        <v>GasolinekWhLitre</v>
      </c>
      <c r="F81" s="271">
        <v>9.6857923497267766</v>
      </c>
      <c r="G81" t="s">
        <v>956</v>
      </c>
      <c r="H81" t="s">
        <v>701</v>
      </c>
      <c r="K81" s="292"/>
    </row>
    <row r="82" spans="1:11">
      <c r="A82" t="s">
        <v>353</v>
      </c>
      <c r="B82" t="str">
        <f>_xlfn.XLOOKUP(A82,'Emission Factors'!$K$432:$K$757,'Emission Factors'!$W$432:$W$757)</f>
        <v xml:space="preserve">UK Government (BEIS) Greenhouse gas reporting: conversion factors (2023) - WTT - Fuels - Liquid fuels - Aviation Gas </v>
      </c>
      <c r="C82" t="s">
        <v>204</v>
      </c>
      <c r="D82" t="s">
        <v>193</v>
      </c>
      <c r="E82" t="str">
        <f t="shared" si="2"/>
        <v>AvGaskWhLitre</v>
      </c>
      <c r="F82" s="271">
        <v>9.5609435897435908</v>
      </c>
      <c r="G82" t="s">
        <v>956</v>
      </c>
      <c r="H82" t="s">
        <v>708</v>
      </c>
      <c r="K82" s="292"/>
    </row>
    <row r="83" spans="1:11">
      <c r="A83" t="s">
        <v>354</v>
      </c>
      <c r="B83" t="str">
        <f>_xlfn.XLOOKUP(A83,'Emission Factors'!$K$432:$K$757,'Emission Factors'!$W$432:$W$757)</f>
        <v xml:space="preserve">UK Government (BEIS) Greenhouse gas reporting: conversion factors (2023) - WTT - Fuels - Liquid fuels - Aviation Turbine Fuel </v>
      </c>
      <c r="C83" t="s">
        <v>204</v>
      </c>
      <c r="D83" t="s">
        <v>193</v>
      </c>
      <c r="E83" t="str">
        <f t="shared" si="2"/>
        <v>Jet FuelkWhLitre</v>
      </c>
      <c r="F83" s="271">
        <v>10.270115406343313</v>
      </c>
      <c r="G83" t="s">
        <v>956</v>
      </c>
      <c r="H83" t="s">
        <v>702</v>
      </c>
      <c r="K83" s="292"/>
    </row>
    <row r="84" spans="1:11">
      <c r="A84" t="s">
        <v>248</v>
      </c>
      <c r="B84" t="str">
        <f>_xlfn.XLOOKUP(A84,'Emission Factors'!$K$432:$K$757,'Emission Factors'!$W$432:$W$757)</f>
        <v xml:space="preserve">UK Government (BEIS) Greenhouse gas reporting: conversion factors (2023) - WTT - Fuels - Liquid fuels - Marine Gas Oil </v>
      </c>
      <c r="C84" t="s">
        <v>204</v>
      </c>
      <c r="D84" t="s">
        <v>193</v>
      </c>
      <c r="E84" t="str">
        <f t="shared" si="2"/>
        <v>Marine Gas OilkWhLitre</v>
      </c>
      <c r="F84" s="271">
        <v>10.742752080510938</v>
      </c>
      <c r="G84" t="s">
        <v>956</v>
      </c>
      <c r="H84" t="s">
        <v>248</v>
      </c>
      <c r="K84" s="292"/>
    </row>
    <row r="85" spans="1:11">
      <c r="F85" s="269"/>
    </row>
    <row r="86" spans="1:11">
      <c r="A86" s="13" t="s">
        <v>709</v>
      </c>
      <c r="F86" s="269"/>
    </row>
    <row r="87" spans="1:11">
      <c r="A87" s="13" t="s">
        <v>684</v>
      </c>
      <c r="B87" s="13" t="s">
        <v>305</v>
      </c>
      <c r="C87" s="13" t="s">
        <v>685</v>
      </c>
      <c r="D87" s="13" t="s">
        <v>686</v>
      </c>
      <c r="E87" s="13" t="s">
        <v>185</v>
      </c>
      <c r="F87" s="266" t="s">
        <v>687</v>
      </c>
    </row>
    <row r="88" spans="1:11">
      <c r="A88" t="s">
        <v>191</v>
      </c>
      <c r="B88" t="str">
        <f>_xlfn.XLOOKUP(A88,'Emission Factors'!$K$432:$K$757,'Emission Factors'!$W$432:$W$757)</f>
        <v xml:space="preserve">UK Government (BEIS) Greenhouse gas reporting: conversion factors (2023) - WTT - Fuels - Liquid fuels - Gas Oil </v>
      </c>
      <c r="C88" t="s">
        <v>204</v>
      </c>
      <c r="D88" t="s">
        <v>706</v>
      </c>
      <c r="E88" t="str">
        <f t="shared" ref="E88:E104" si="3">A88&amp;C88&amp;D88</f>
        <v>Gas/diesel oilkWhTonne</v>
      </c>
      <c r="F88" s="272">
        <v>12579.461817048952</v>
      </c>
      <c r="G88" t="s">
        <v>956</v>
      </c>
      <c r="H88" t="s">
        <v>711</v>
      </c>
      <c r="K88" s="292"/>
    </row>
    <row r="89" spans="1:11">
      <c r="A89" t="s">
        <v>196</v>
      </c>
      <c r="B89" t="str">
        <f>_xlfn.XLOOKUP(A89,'Emission Factors'!$K$432:$K$757,'Emission Factors'!$W$432:$W$757)</f>
        <v xml:space="preserve">UK Government (BEIS) Greenhouse gas reporting: conversion factors (2023) - WTT - Fuels - Liquid fuels - Fuel Oil </v>
      </c>
      <c r="C89" t="s">
        <v>204</v>
      </c>
      <c r="D89" t="s">
        <v>706</v>
      </c>
      <c r="E89" t="str">
        <f t="shared" si="3"/>
        <v>Heavy fuel oilkWhTonne</v>
      </c>
      <c r="F89" s="272">
        <v>12042.064439140811</v>
      </c>
      <c r="G89" t="s">
        <v>956</v>
      </c>
      <c r="H89" t="s">
        <v>712</v>
      </c>
      <c r="K89" s="292"/>
    </row>
    <row r="90" spans="1:11">
      <c r="A90" t="s">
        <v>311</v>
      </c>
      <c r="B90" t="str">
        <f>_xlfn.XLOOKUP(A90,'Emission Factors'!$K$432:$K$757,'Emission Factors'!$W$432:$W$757)</f>
        <v xml:space="preserve">UK Government (BEIS) Greenhouse gas reporting: conversion factors (2023) - WTT - Fuels - Liquid fuels - Kerosene </v>
      </c>
      <c r="C90" t="s">
        <v>204</v>
      </c>
      <c r="D90" t="s">
        <v>706</v>
      </c>
      <c r="E90" t="str">
        <f t="shared" si="3"/>
        <v>KerosenekWhTonne</v>
      </c>
      <c r="F90" s="272">
        <v>12825.748672853264</v>
      </c>
      <c r="G90" t="s">
        <v>956</v>
      </c>
      <c r="H90" t="s">
        <v>692</v>
      </c>
      <c r="K90" s="292"/>
    </row>
    <row r="91" spans="1:11">
      <c r="A91" t="s">
        <v>312</v>
      </c>
      <c r="B91" t="str">
        <f>_xlfn.XLOOKUP(A91,'Emission Factors'!$K$432:$K$757,'Emission Factors'!$W$432:$W$757)</f>
        <v xml:space="preserve">UK Government (BEIS) Greenhouse gas reporting: conversion factors (2023) - WTT - Fuels - Liquid fuels - LPG </v>
      </c>
      <c r="C91" t="s">
        <v>204</v>
      </c>
      <c r="D91" t="s">
        <v>706</v>
      </c>
      <c r="E91" t="str">
        <f t="shared" si="3"/>
        <v>LPGkWhTonne</v>
      </c>
      <c r="F91" s="272">
        <v>13703.622546505665</v>
      </c>
      <c r="G91" t="s">
        <v>956</v>
      </c>
      <c r="H91" t="s">
        <v>312</v>
      </c>
      <c r="K91" s="292"/>
    </row>
    <row r="92" spans="1:11">
      <c r="A92" t="s">
        <v>313</v>
      </c>
      <c r="B92" t="str">
        <f>_xlfn.XLOOKUP(A92,'Emission Factors'!$K$432:$K$757,'Emission Factors'!$W$432:$W$757)</f>
        <v>UK Government (BEIS) Greenhouse gas reporting: conversion factors (2023) - WTT - Bioenergy - WTT Biogas - Biogas - kWh</v>
      </c>
      <c r="C92" t="s">
        <v>204</v>
      </c>
      <c r="D92" t="s">
        <v>706</v>
      </c>
      <c r="E92" t="str">
        <f t="shared" si="3"/>
        <v>BiogaskWhTonne</v>
      </c>
      <c r="F92" s="272">
        <v>5541.772727272727</v>
      </c>
      <c r="G92" t="s">
        <v>956</v>
      </c>
      <c r="H92" t="s">
        <v>313</v>
      </c>
      <c r="K92" s="292"/>
    </row>
    <row r="93" spans="1:11">
      <c r="A93" t="s">
        <v>314</v>
      </c>
      <c r="B93" t="str">
        <f>_xlfn.XLOOKUP(A93,'Emission Factors'!$K$432:$K$757,'Emission Factors'!$W$432:$W$757)</f>
        <v>UK Government (BEIS) Greenhouse gas reporting: conversion factors (2023) - WTT - Bioenergy - WTT - Biomass - Wood Pellets</v>
      </c>
      <c r="C93" t="s">
        <v>204</v>
      </c>
      <c r="D93" t="s">
        <v>706</v>
      </c>
      <c r="E93" t="str">
        <f t="shared" si="3"/>
        <v>Wood PelletskWhTonne</v>
      </c>
      <c r="F93" s="272">
        <v>4801.0056980056979</v>
      </c>
      <c r="G93" t="s">
        <v>956</v>
      </c>
      <c r="H93" t="s">
        <v>314</v>
      </c>
      <c r="K93" s="292"/>
    </row>
    <row r="94" spans="1:11">
      <c r="A94" t="s">
        <v>315</v>
      </c>
      <c r="B94" t="str">
        <f>_xlfn.XLOOKUP(A94,'Emission Factors'!$K$432:$K$757,'Emission Factors'!$W$432:$W$757)</f>
        <v xml:space="preserve">UK Government (BEIS) Greenhouse gas reporting: conversion factors (2023) - WTT - Fuels - Liquid fuels - Propane </v>
      </c>
      <c r="C94" t="s">
        <v>204</v>
      </c>
      <c r="D94" t="s">
        <v>706</v>
      </c>
      <c r="E94" t="str">
        <f t="shared" si="3"/>
        <v>PropanekWhTonne</v>
      </c>
      <c r="F94" s="272">
        <v>14000.04670496474</v>
      </c>
      <c r="G94" t="s">
        <v>956</v>
      </c>
      <c r="H94" t="s">
        <v>315</v>
      </c>
      <c r="K94" s="292"/>
    </row>
    <row r="95" spans="1:11">
      <c r="A95" t="s">
        <v>316</v>
      </c>
      <c r="B95" t="str">
        <f>_xlfn.XLOOKUP(A95,'Emission Factors'!$K$432:$K$757,'Emission Factors'!$W$432:$W$757)</f>
        <v xml:space="preserve">UK Government (BEIS) Greenhouse gas reporting: conversion factors (2023) - WTT - Fuels - Liquid fuels -Butane </v>
      </c>
      <c r="C95" t="s">
        <v>204</v>
      </c>
      <c r="D95" t="s">
        <v>706</v>
      </c>
      <c r="E95" t="str">
        <f t="shared" si="3"/>
        <v>ButanekWhTonne</v>
      </c>
      <c r="F95" s="272">
        <v>13639.028776978419</v>
      </c>
      <c r="G95" t="s">
        <v>956</v>
      </c>
      <c r="H95" t="s">
        <v>316</v>
      </c>
      <c r="K95" s="292"/>
    </row>
    <row r="96" spans="1:11">
      <c r="A96" t="s">
        <v>317</v>
      </c>
      <c r="B96" t="str">
        <f>_xlfn.XLOOKUP(A96,'Emission Factors'!$K$432:$K$757,'Emission Factors'!$W$432:$W$757)</f>
        <v xml:space="preserve">UK Government (BEIS) Greenhouse gas reporting: conversion factors (2023) - WTT - Fuels - Liquid fuels -Waste Oils </v>
      </c>
      <c r="C96" t="s">
        <v>204</v>
      </c>
      <c r="D96" t="s">
        <v>706</v>
      </c>
      <c r="E96" t="str">
        <f t="shared" si="3"/>
        <v>Waste OilskWhTonne</v>
      </c>
      <c r="F96" s="272">
        <v>12555.758897282145</v>
      </c>
      <c r="G96" t="s">
        <v>956</v>
      </c>
      <c r="H96" t="s">
        <v>317</v>
      </c>
      <c r="K96" s="292"/>
    </row>
    <row r="97" spans="1:11">
      <c r="A97" t="s">
        <v>318</v>
      </c>
      <c r="B97" t="str">
        <f>_xlfn.XLOOKUP(A97,'Emission Factors'!$K$432:$K$757,'Emission Factors'!$W$432:$W$757)</f>
        <v>UK Government (BEIS) Greenhouse gas reporting: conversion factors (2023) - WTT - Bioenergy - WTT -  Biomass - Wood logs</v>
      </c>
      <c r="C97" t="s">
        <v>204</v>
      </c>
      <c r="D97" t="s">
        <v>706</v>
      </c>
      <c r="E97" t="str">
        <f t="shared" si="3"/>
        <v>Wood logskWhTonne</v>
      </c>
      <c r="F97" s="272">
        <v>4086.9667616334286</v>
      </c>
      <c r="G97" t="s">
        <v>956</v>
      </c>
      <c r="H97" t="s">
        <v>695</v>
      </c>
      <c r="K97" s="292"/>
    </row>
    <row r="98" spans="1:11">
      <c r="A98" t="s">
        <v>319</v>
      </c>
      <c r="B98" t="str">
        <f>_xlfn.XLOOKUP(A98,'Emission Factors'!$K$432:$K$757,'Emission Factors'!$W$432:$W$757)</f>
        <v>UK Government (BEIS) Greenhouse gas reporting: conversion factors (2023) - WTT - Bioenergy - WTT - Biomass -  Wood chips</v>
      </c>
      <c r="C98" t="s">
        <v>204</v>
      </c>
      <c r="D98" t="s">
        <v>706</v>
      </c>
      <c r="E98" t="str">
        <f t="shared" si="3"/>
        <v>Wood chipskWhTonne</v>
      </c>
      <c r="F98" s="272">
        <v>3778.5688509021847</v>
      </c>
      <c r="G98" t="s">
        <v>956</v>
      </c>
      <c r="H98" t="s">
        <v>693</v>
      </c>
      <c r="K98" s="292"/>
    </row>
    <row r="99" spans="1:11">
      <c r="A99" t="s">
        <v>203</v>
      </c>
      <c r="B99" t="str">
        <f>_xlfn.XLOOKUP(A99,'Emission Factors'!$K$432:$K$757,'Emission Factors'!$W$432:$W$757)</f>
        <v xml:space="preserve">UK Government (BEIS) Greenhouse gas reporting: conversion factors (2023) - WTT - Fuels - Liquid fuels - Diesel (100% mineral diesel) </v>
      </c>
      <c r="C99" t="s">
        <v>204</v>
      </c>
      <c r="D99" t="s">
        <v>706</v>
      </c>
      <c r="E99" t="str">
        <f t="shared" si="3"/>
        <v>DieselkWhTonne</v>
      </c>
      <c r="F99" s="272">
        <v>12672.327317246554</v>
      </c>
      <c r="G99" t="s">
        <v>956</v>
      </c>
      <c r="H99" t="s">
        <v>696</v>
      </c>
      <c r="K99" s="292"/>
    </row>
    <row r="100" spans="1:11">
      <c r="A100" t="s">
        <v>338</v>
      </c>
      <c r="B100" t="str">
        <f>_xlfn.XLOOKUP(A100,'Emission Factors'!$K$432:$K$757,'Emission Factors'!$W$432:$W$757)</f>
        <v xml:space="preserve">UK Government (BEIS) Greenhouse gas reporting: conversion factors (2023) - WTT - Fuels - Liquid fuels - Processed fuel oils (residual oil) </v>
      </c>
      <c r="C100" t="s">
        <v>204</v>
      </c>
      <c r="D100" t="s">
        <v>706</v>
      </c>
      <c r="E100" t="str">
        <f t="shared" si="3"/>
        <v>Residual oilkWhTonne</v>
      </c>
      <c r="F100" s="272">
        <v>12042.064439140811</v>
      </c>
      <c r="G100" t="s">
        <v>956</v>
      </c>
      <c r="H100" t="s">
        <v>697</v>
      </c>
      <c r="K100" s="292"/>
    </row>
    <row r="101" spans="1:11">
      <c r="A101" t="s">
        <v>207</v>
      </c>
      <c r="B101" t="str">
        <f>_xlfn.XLOOKUP(A101,'Emission Factors'!$K$432:$K$757,'Emission Factors'!$W$432:$W$757)</f>
        <v xml:space="preserve">UK Government (BEIS) Greenhouse gas reporting: conversion factors (2023) - WTT - Fuels - Liquid fuels - Petrol (100% mineral petrol) </v>
      </c>
      <c r="C101" t="s">
        <v>204</v>
      </c>
      <c r="D101" t="s">
        <v>706</v>
      </c>
      <c r="E101" t="str">
        <f t="shared" si="3"/>
        <v>GasolinekWhTonne</v>
      </c>
      <c r="F101" s="272">
        <v>13056.38350720318</v>
      </c>
      <c r="G101" t="s">
        <v>956</v>
      </c>
      <c r="H101" t="s">
        <v>701</v>
      </c>
      <c r="K101" s="292"/>
    </row>
    <row r="102" spans="1:11">
      <c r="A102" t="s">
        <v>353</v>
      </c>
      <c r="B102" t="str">
        <f>_xlfn.XLOOKUP(A102,'Emission Factors'!$K$432:$K$757,'Emission Factors'!$W$432:$W$757)</f>
        <v xml:space="preserve">UK Government (BEIS) Greenhouse gas reporting: conversion factors (2023) - WTT - Fuels - Liquid fuels - Aviation Gas </v>
      </c>
      <c r="C102" t="s">
        <v>204</v>
      </c>
      <c r="D102" t="s">
        <v>706</v>
      </c>
      <c r="E102" t="str">
        <f t="shared" si="3"/>
        <v>AvGaskWhTonne</v>
      </c>
      <c r="F102" s="272">
        <v>13098.502564102566</v>
      </c>
      <c r="G102" t="s">
        <v>956</v>
      </c>
      <c r="H102" t="s">
        <v>708</v>
      </c>
      <c r="K102" s="292"/>
    </row>
    <row r="103" spans="1:11">
      <c r="A103" t="s">
        <v>354</v>
      </c>
      <c r="B103" t="str">
        <f>_xlfn.XLOOKUP(A103,'Emission Factors'!$K$432:$K$757,'Emission Factors'!$W$432:$W$757)</f>
        <v xml:space="preserve">UK Government (BEIS) Greenhouse gas reporting: conversion factors (2023) - WTT - Fuels - Liquid fuels - Aviation Turbine Fuel </v>
      </c>
      <c r="C103" t="s">
        <v>204</v>
      </c>
      <c r="D103" t="s">
        <v>706</v>
      </c>
      <c r="E103" t="str">
        <f t="shared" si="3"/>
        <v>Jet FuelkWhTonne</v>
      </c>
      <c r="F103" s="272">
        <v>12837.664433863289</v>
      </c>
      <c r="G103" t="s">
        <v>956</v>
      </c>
      <c r="H103" t="s">
        <v>713</v>
      </c>
      <c r="K103" s="292"/>
    </row>
    <row r="104" spans="1:11">
      <c r="A104" t="s">
        <v>248</v>
      </c>
      <c r="B104" t="str">
        <f>_xlfn.XLOOKUP(A104,'Emission Factors'!$K$432:$K$757,'Emission Factors'!$W$432:$W$757)</f>
        <v xml:space="preserve">UK Government (BEIS) Greenhouse gas reporting: conversion factors (2023) - WTT - Fuels - Liquid fuels - Marine Gas Oil </v>
      </c>
      <c r="C104" t="s">
        <v>204</v>
      </c>
      <c r="D104" t="s">
        <v>706</v>
      </c>
      <c r="E104" t="str">
        <f t="shared" si="3"/>
        <v>Marine Gas OilkWhTonne</v>
      </c>
      <c r="F104" s="272">
        <v>12579.794851945036</v>
      </c>
      <c r="G104" t="s">
        <v>956</v>
      </c>
      <c r="H104" t="s">
        <v>248</v>
      </c>
      <c r="K104" s="292"/>
    </row>
  </sheetData>
  <sheetProtection algorithmName="SHA-512" hashValue="Sz/UGStQyLlRJvoYhL8H7k8CBJ2tFvfjW/8Ye6ElRjAKLf3v2pgYVpeUiu4c1sUf+1UooRLxVxAoVNyyG8KH+A==" saltValue="OkhqJupFMor3Mzrb30w2lA==" spinCount="100000" sheet="1" objects="1" scenarios="1"/>
  <autoFilter ref="B3:I10" xr:uid="{CE68792C-F51B-4974-9B30-4511725A5E98}"/>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1C4F-53F0-4926-875A-B37FC7AE4544}">
  <sheetPr codeName="Sheet15"/>
  <dimension ref="A1:BH50"/>
  <sheetViews>
    <sheetView topLeftCell="AE1" zoomScale="85" zoomScaleNormal="85" workbookViewId="0">
      <selection activeCell="AG19" sqref="AG19"/>
    </sheetView>
  </sheetViews>
  <sheetFormatPr defaultColWidth="8.7109375" defaultRowHeight="15"/>
  <cols>
    <col min="1" max="4" width="15" customWidth="1"/>
    <col min="5" max="5" width="46.28515625" customWidth="1"/>
    <col min="6" max="11" width="21.7109375" customWidth="1"/>
    <col min="13" max="13" width="14.42578125" customWidth="1"/>
    <col min="14" max="14" width="34.7109375" customWidth="1"/>
    <col min="15" max="15" width="31.7109375" customWidth="1"/>
    <col min="16" max="16" width="41.140625" customWidth="1"/>
    <col min="17" max="17" width="49.42578125" customWidth="1"/>
    <col min="18" max="18" width="19.42578125" customWidth="1"/>
    <col min="21" max="21" width="19.28515625" customWidth="1"/>
    <col min="23" max="23" width="20.28515625" customWidth="1"/>
    <col min="25" max="25" width="19" customWidth="1"/>
    <col min="28" max="28" width="39.7109375" customWidth="1"/>
    <col min="29" max="29" width="13.7109375" customWidth="1"/>
    <col min="31" max="31" width="19" customWidth="1"/>
    <col min="32" max="32" width="29.7109375" customWidth="1"/>
    <col min="33" max="33" width="56.28515625" customWidth="1"/>
    <col min="34" max="34" width="18.7109375" customWidth="1"/>
    <col min="35" max="35" width="40.140625" bestFit="1" customWidth="1"/>
    <col min="36" max="37" width="18.7109375" customWidth="1"/>
    <col min="38" max="38" width="18.28515625" customWidth="1"/>
    <col min="39" max="39" width="40.28515625" customWidth="1"/>
    <col min="40" max="40" width="57.42578125" customWidth="1"/>
    <col min="41" max="42" width="47" customWidth="1"/>
    <col min="43" max="43" width="29.42578125" customWidth="1"/>
    <col min="44" max="44" width="19.28515625" customWidth="1"/>
    <col min="48" max="49" width="17.28515625" customWidth="1"/>
    <col min="50" max="50" width="45.42578125" customWidth="1"/>
    <col min="51" max="51" width="22.42578125" customWidth="1"/>
    <col min="52" max="53" width="59.42578125" customWidth="1"/>
    <col min="54" max="54" width="12.7109375" bestFit="1" customWidth="1"/>
    <col min="57" max="57" width="41" customWidth="1"/>
    <col min="58" max="58" width="30.7109375" bestFit="1" customWidth="1"/>
    <col min="59" max="59" width="18.28515625" customWidth="1"/>
    <col min="60" max="60" width="22.7109375" customWidth="1"/>
  </cols>
  <sheetData>
    <row r="1" spans="1:60">
      <c r="E1" t="s">
        <v>306</v>
      </c>
      <c r="F1" t="s">
        <v>306</v>
      </c>
      <c r="G1" t="s">
        <v>306</v>
      </c>
      <c r="H1" t="s">
        <v>306</v>
      </c>
      <c r="I1" t="s">
        <v>306</v>
      </c>
      <c r="J1" t="s">
        <v>306</v>
      </c>
      <c r="M1" t="s">
        <v>336</v>
      </c>
      <c r="N1" t="s">
        <v>336</v>
      </c>
      <c r="O1" t="s">
        <v>336</v>
      </c>
      <c r="P1" t="s">
        <v>336</v>
      </c>
      <c r="Q1" t="s">
        <v>336</v>
      </c>
      <c r="R1" t="s">
        <v>336</v>
      </c>
      <c r="T1" t="s">
        <v>714</v>
      </c>
      <c r="U1" t="s">
        <v>714</v>
      </c>
      <c r="W1" t="s">
        <v>715</v>
      </c>
      <c r="Y1" t="s">
        <v>240</v>
      </c>
      <c r="AB1" t="s">
        <v>716</v>
      </c>
      <c r="AC1" t="s">
        <v>716</v>
      </c>
      <c r="AE1" t="s">
        <v>717</v>
      </c>
      <c r="AF1" t="s">
        <v>717</v>
      </c>
      <c r="AG1" t="s">
        <v>717</v>
      </c>
      <c r="AH1" t="s">
        <v>717</v>
      </c>
      <c r="AI1" t="s">
        <v>717</v>
      </c>
      <c r="AK1" t="s">
        <v>717</v>
      </c>
      <c r="AL1" t="s">
        <v>717</v>
      </c>
      <c r="AM1" t="s">
        <v>717</v>
      </c>
      <c r="AN1" t="s">
        <v>717</v>
      </c>
      <c r="AO1" t="s">
        <v>717</v>
      </c>
      <c r="AP1" t="s">
        <v>717</v>
      </c>
      <c r="AQ1" t="s">
        <v>717</v>
      </c>
      <c r="AR1" t="s">
        <v>717</v>
      </c>
      <c r="AV1" t="s">
        <v>718</v>
      </c>
      <c r="AW1" t="s">
        <v>718</v>
      </c>
      <c r="AX1" t="s">
        <v>718</v>
      </c>
      <c r="AY1" t="s">
        <v>718</v>
      </c>
      <c r="AZ1" t="s">
        <v>718</v>
      </c>
      <c r="BA1" t="s">
        <v>718</v>
      </c>
      <c r="BB1" t="s">
        <v>718</v>
      </c>
      <c r="BE1" t="s">
        <v>719</v>
      </c>
      <c r="BF1" t="s">
        <v>719</v>
      </c>
      <c r="BG1" t="s">
        <v>719</v>
      </c>
      <c r="BH1" t="s">
        <v>719</v>
      </c>
    </row>
    <row r="2" spans="1:60" ht="69" customHeight="1">
      <c r="A2" s="16" t="s">
        <v>2</v>
      </c>
      <c r="B2" s="16" t="s">
        <v>720</v>
      </c>
      <c r="C2" s="16" t="s">
        <v>721</v>
      </c>
      <c r="D2" s="16"/>
      <c r="E2" s="16" t="s">
        <v>722</v>
      </c>
      <c r="F2" s="16" t="s">
        <v>723</v>
      </c>
      <c r="G2" s="16" t="s">
        <v>724</v>
      </c>
      <c r="H2" s="16" t="s">
        <v>725</v>
      </c>
      <c r="I2" s="16" t="s">
        <v>726</v>
      </c>
      <c r="J2" s="16" t="s">
        <v>727</v>
      </c>
      <c r="K2" s="16"/>
      <c r="L2" s="16"/>
      <c r="M2" s="16" t="s">
        <v>728</v>
      </c>
      <c r="N2" s="16" t="s">
        <v>729</v>
      </c>
      <c r="O2" s="16" t="s">
        <v>730</v>
      </c>
      <c r="P2" s="16" t="s">
        <v>731</v>
      </c>
      <c r="Q2" s="16" t="s">
        <v>729</v>
      </c>
      <c r="R2" s="16" t="s">
        <v>732</v>
      </c>
      <c r="S2" s="16"/>
      <c r="T2" s="16" t="s">
        <v>733</v>
      </c>
      <c r="U2" s="16" t="s">
        <v>101</v>
      </c>
      <c r="W2" s="16" t="s">
        <v>734</v>
      </c>
      <c r="Y2" s="16" t="s">
        <v>735</v>
      </c>
      <c r="AB2" s="16" t="s">
        <v>736</v>
      </c>
      <c r="AC2" s="16" t="s">
        <v>737</v>
      </c>
      <c r="AE2" s="15" t="s">
        <v>738</v>
      </c>
      <c r="AF2" s="15" t="s">
        <v>739</v>
      </c>
      <c r="AG2" s="16" t="s">
        <v>740</v>
      </c>
      <c r="AH2" s="15" t="s">
        <v>741</v>
      </c>
      <c r="AI2" s="21" t="s">
        <v>742</v>
      </c>
      <c r="AJ2" s="15"/>
      <c r="AK2" s="16" t="s">
        <v>743</v>
      </c>
      <c r="AL2" s="16" t="s">
        <v>744</v>
      </c>
      <c r="AM2" s="16" t="s">
        <v>745</v>
      </c>
      <c r="AN2" s="16" t="s">
        <v>746</v>
      </c>
      <c r="AO2" s="16" t="s">
        <v>747</v>
      </c>
      <c r="AP2" s="16" t="s">
        <v>747</v>
      </c>
      <c r="AQ2" s="16" t="s">
        <v>747</v>
      </c>
      <c r="AR2" s="16" t="s">
        <v>748</v>
      </c>
      <c r="AV2" s="15" t="s">
        <v>749</v>
      </c>
      <c r="AW2" s="15" t="s">
        <v>750</v>
      </c>
      <c r="AX2" s="15" t="s">
        <v>751</v>
      </c>
      <c r="AY2" s="15" t="s">
        <v>752</v>
      </c>
      <c r="AZ2" s="15" t="s">
        <v>751</v>
      </c>
      <c r="BA2" s="15" t="s">
        <v>753</v>
      </c>
      <c r="BB2" s="15" t="s">
        <v>754</v>
      </c>
      <c r="BE2" s="15" t="s">
        <v>755</v>
      </c>
      <c r="BF2" s="13" t="s">
        <v>756</v>
      </c>
      <c r="BG2" s="13" t="s">
        <v>757</v>
      </c>
      <c r="BH2" s="15" t="s">
        <v>758</v>
      </c>
    </row>
    <row r="3" spans="1:60">
      <c r="A3" t="s">
        <v>12</v>
      </c>
      <c r="B3" t="s">
        <v>141</v>
      </c>
      <c r="C3" t="str">
        <f>'Organisation Details'!L33</f>
        <v>Alt - Alt</v>
      </c>
      <c r="E3" t="s">
        <v>320</v>
      </c>
      <c r="F3" t="s">
        <v>193</v>
      </c>
      <c r="G3" t="s">
        <v>313</v>
      </c>
      <c r="H3" t="s">
        <v>759</v>
      </c>
      <c r="I3" t="s">
        <v>192</v>
      </c>
      <c r="J3" t="s">
        <v>313</v>
      </c>
      <c r="M3" t="s">
        <v>309</v>
      </c>
      <c r="N3" t="s">
        <v>352</v>
      </c>
      <c r="O3" t="s">
        <v>760</v>
      </c>
      <c r="P3" t="s">
        <v>353</v>
      </c>
      <c r="Q3" t="s">
        <v>352</v>
      </c>
      <c r="R3" t="s">
        <v>203</v>
      </c>
      <c r="T3" t="s">
        <v>226</v>
      </c>
      <c r="U3" t="s">
        <v>367</v>
      </c>
      <c r="W3" t="s">
        <v>232</v>
      </c>
      <c r="Y3" t="s">
        <v>142</v>
      </c>
      <c r="AB3" t="s">
        <v>761</v>
      </c>
      <c r="AC3" t="s">
        <v>246</v>
      </c>
      <c r="AE3" t="s">
        <v>309</v>
      </c>
      <c r="AF3" t="s">
        <v>325</v>
      </c>
      <c r="AG3" t="s">
        <v>762</v>
      </c>
      <c r="AH3" t="s">
        <v>345</v>
      </c>
      <c r="AI3" t="s">
        <v>325</v>
      </c>
      <c r="AK3" t="s">
        <v>264</v>
      </c>
      <c r="AL3" t="s">
        <v>266</v>
      </c>
      <c r="AM3" t="s">
        <v>763</v>
      </c>
      <c r="AN3" t="s">
        <v>413</v>
      </c>
      <c r="AO3" t="s">
        <v>266</v>
      </c>
      <c r="AP3" t="s">
        <v>764</v>
      </c>
      <c r="AQ3" t="s">
        <v>251</v>
      </c>
      <c r="AR3" t="s">
        <v>266</v>
      </c>
      <c r="AV3" t="s">
        <v>266</v>
      </c>
      <c r="AW3" t="s">
        <v>765</v>
      </c>
      <c r="AX3" t="s">
        <v>450</v>
      </c>
      <c r="AY3" t="s">
        <v>266</v>
      </c>
      <c r="AZ3" t="s">
        <v>450</v>
      </c>
      <c r="BA3" t="str">
        <f>"S3_AirTravel"&amp;LEFT(AZ3,3)&amp;"BT_Units"</f>
        <v>S3_AirTravelDomBT_Units</v>
      </c>
      <c r="BB3" t="s">
        <v>268</v>
      </c>
      <c r="BE3" t="s">
        <v>283</v>
      </c>
      <c r="BF3" t="s">
        <v>766</v>
      </c>
      <c r="BG3" t="s">
        <v>284</v>
      </c>
      <c r="BH3" t="s">
        <v>283</v>
      </c>
    </row>
    <row r="4" spans="1:60">
      <c r="A4" t="s">
        <v>767</v>
      </c>
      <c r="B4" t="s">
        <v>768</v>
      </c>
      <c r="C4" t="str">
        <f>'Organisation Details'!J34&amp;" - "&amp;'Organisation Details'!K34</f>
        <v>Bygningar - Tórshavn</v>
      </c>
      <c r="E4" t="s">
        <v>322</v>
      </c>
      <c r="F4" t="s">
        <v>706</v>
      </c>
      <c r="G4" t="s">
        <v>313</v>
      </c>
      <c r="I4" t="s">
        <v>320</v>
      </c>
      <c r="J4" t="s">
        <v>316</v>
      </c>
      <c r="M4" t="s">
        <v>235</v>
      </c>
      <c r="N4" t="s">
        <v>352</v>
      </c>
      <c r="P4" t="s">
        <v>354</v>
      </c>
      <c r="Q4" t="s">
        <v>356</v>
      </c>
      <c r="R4" t="s">
        <v>338</v>
      </c>
      <c r="T4" t="s">
        <v>281</v>
      </c>
      <c r="U4" t="s">
        <v>371</v>
      </c>
      <c r="W4" t="s">
        <v>407</v>
      </c>
      <c r="Y4" t="s">
        <v>192</v>
      </c>
      <c r="AB4" t="s">
        <v>769</v>
      </c>
      <c r="AC4" t="s">
        <v>249</v>
      </c>
      <c r="AE4" t="s">
        <v>204</v>
      </c>
      <c r="AF4" t="s">
        <v>325</v>
      </c>
      <c r="AH4" t="s">
        <v>203</v>
      </c>
      <c r="AI4" t="s">
        <v>266</v>
      </c>
      <c r="AK4" t="s">
        <v>419</v>
      </c>
      <c r="AL4" t="s">
        <v>266</v>
      </c>
      <c r="AN4" t="s">
        <v>414</v>
      </c>
      <c r="AO4" t="s">
        <v>206</v>
      </c>
      <c r="AP4" t="s">
        <v>770</v>
      </c>
      <c r="AQ4" t="s">
        <v>251</v>
      </c>
      <c r="AR4" t="s">
        <v>206</v>
      </c>
      <c r="AV4" t="s">
        <v>266</v>
      </c>
      <c r="AX4" t="s">
        <v>452</v>
      </c>
      <c r="AY4" t="s">
        <v>466</v>
      </c>
      <c r="AZ4" t="s">
        <v>452</v>
      </c>
      <c r="BA4" t="str">
        <f>"S3_AirTravel"&amp;LEFT(AZ4,3)&amp;MID(AZ4,27,3)&amp;"BT_Units"</f>
        <v>S3_AirTravelShoAveBT_Units</v>
      </c>
      <c r="BB4" t="s">
        <v>268</v>
      </c>
      <c r="BE4" t="s">
        <v>283</v>
      </c>
      <c r="BH4" t="s">
        <v>484</v>
      </c>
    </row>
    <row r="5" spans="1:60">
      <c r="C5" t="str">
        <f>'Organisation Details'!J35&amp;" - "&amp;'Organisation Details'!K35</f>
        <v>Skrivstovur - Tórshavn</v>
      </c>
      <c r="E5" t="s">
        <v>323</v>
      </c>
      <c r="F5" t="s">
        <v>309</v>
      </c>
      <c r="G5" t="s">
        <v>313</v>
      </c>
      <c r="I5" t="s">
        <v>323</v>
      </c>
      <c r="J5" t="s">
        <v>191</v>
      </c>
      <c r="M5" t="s">
        <v>204</v>
      </c>
      <c r="N5" t="s">
        <v>356</v>
      </c>
      <c r="O5" t="s">
        <v>771</v>
      </c>
      <c r="P5" t="s">
        <v>358</v>
      </c>
      <c r="Q5" t="s">
        <v>355</v>
      </c>
      <c r="R5" t="s">
        <v>353</v>
      </c>
      <c r="U5" t="s">
        <v>372</v>
      </c>
      <c r="W5" t="s">
        <v>408</v>
      </c>
      <c r="AB5" t="s">
        <v>448</v>
      </c>
      <c r="AE5" t="s">
        <v>193</v>
      </c>
      <c r="AF5" t="s">
        <v>325</v>
      </c>
      <c r="AH5" t="s">
        <v>207</v>
      </c>
      <c r="AI5" t="s">
        <v>352</v>
      </c>
      <c r="AK5" t="s">
        <v>251</v>
      </c>
      <c r="AL5" t="s">
        <v>266</v>
      </c>
      <c r="AN5" t="s">
        <v>415</v>
      </c>
      <c r="AO5" t="s">
        <v>206</v>
      </c>
      <c r="AQ5" t="s">
        <v>264</v>
      </c>
      <c r="AR5" t="s">
        <v>427</v>
      </c>
      <c r="AV5" t="s">
        <v>266</v>
      </c>
      <c r="AX5" t="s">
        <v>453</v>
      </c>
      <c r="AY5" t="s">
        <v>272</v>
      </c>
      <c r="AZ5" t="s">
        <v>453</v>
      </c>
      <c r="BA5" t="str">
        <f t="shared" ref="BA5:BA11" si="0">"S3_AirTravel"&amp;LEFT(AZ5,3)&amp;MID(AZ5,27,3)&amp;"BT_Units"</f>
        <v>S3_AirTravelShoEcoBT_Units</v>
      </c>
      <c r="BB5" t="s">
        <v>268</v>
      </c>
      <c r="BE5" t="s">
        <v>283</v>
      </c>
      <c r="BH5" t="s">
        <v>486</v>
      </c>
    </row>
    <row r="6" spans="1:60">
      <c r="C6" t="str">
        <f>'Organisation Details'!J36&amp;" - "&amp;'Organisation Details'!K36</f>
        <v>Goymsla - Klaksvik</v>
      </c>
      <c r="E6" t="s">
        <v>324</v>
      </c>
      <c r="F6" t="s">
        <v>235</v>
      </c>
      <c r="G6" t="s">
        <v>313</v>
      </c>
      <c r="I6" t="s">
        <v>324</v>
      </c>
      <c r="J6" t="s">
        <v>196</v>
      </c>
      <c r="M6" t="s">
        <v>678</v>
      </c>
      <c r="N6" t="s">
        <v>356</v>
      </c>
      <c r="P6" t="s">
        <v>354</v>
      </c>
      <c r="Q6" t="s">
        <v>357</v>
      </c>
      <c r="R6" t="s">
        <v>345</v>
      </c>
      <c r="U6" t="s">
        <v>373</v>
      </c>
      <c r="W6" t="s">
        <v>234</v>
      </c>
      <c r="AB6" t="s">
        <v>481</v>
      </c>
      <c r="AE6" t="s">
        <v>706</v>
      </c>
      <c r="AF6" t="s">
        <v>266</v>
      </c>
      <c r="AG6" t="s">
        <v>772</v>
      </c>
      <c r="AH6" t="s">
        <v>353</v>
      </c>
      <c r="AI6" t="s">
        <v>356</v>
      </c>
      <c r="AL6" t="s">
        <v>266</v>
      </c>
      <c r="AN6" t="s">
        <v>416</v>
      </c>
      <c r="AO6" t="s">
        <v>206</v>
      </c>
      <c r="AQ6" t="s">
        <v>419</v>
      </c>
      <c r="AR6" t="s">
        <v>257</v>
      </c>
      <c r="AV6" t="s">
        <v>266</v>
      </c>
      <c r="AX6" t="s">
        <v>454</v>
      </c>
      <c r="AY6" t="s">
        <v>347</v>
      </c>
      <c r="AZ6" t="s">
        <v>454</v>
      </c>
      <c r="BA6" t="str">
        <f t="shared" si="0"/>
        <v>S3_AirTravelShoBusBT_Units</v>
      </c>
      <c r="BB6" t="s">
        <v>268</v>
      </c>
      <c r="BE6" t="s">
        <v>484</v>
      </c>
      <c r="BF6" t="s">
        <v>773</v>
      </c>
      <c r="BG6" t="s">
        <v>284</v>
      </c>
      <c r="BH6" t="s">
        <v>488</v>
      </c>
    </row>
    <row r="7" spans="1:60">
      <c r="C7" t="str">
        <f>'Organisation Details'!J37&amp;" - "&amp;'Organisation Details'!K37</f>
        <v>Floti - All</v>
      </c>
      <c r="E7" t="s">
        <v>325</v>
      </c>
      <c r="F7" t="s">
        <v>204</v>
      </c>
      <c r="G7" t="s">
        <v>313</v>
      </c>
      <c r="I7" t="s">
        <v>325</v>
      </c>
      <c r="J7" t="s">
        <v>311</v>
      </c>
      <c r="M7" t="s">
        <v>679</v>
      </c>
      <c r="N7" t="s">
        <v>355</v>
      </c>
      <c r="O7" t="s">
        <v>774</v>
      </c>
      <c r="P7" t="s">
        <v>354</v>
      </c>
      <c r="Q7" t="s">
        <v>340</v>
      </c>
      <c r="R7" t="s">
        <v>346</v>
      </c>
      <c r="U7" t="s">
        <v>375</v>
      </c>
      <c r="AF7" t="s">
        <v>266</v>
      </c>
      <c r="AH7" t="s">
        <v>358</v>
      </c>
      <c r="AI7" t="s">
        <v>355</v>
      </c>
      <c r="AL7" t="s">
        <v>206</v>
      </c>
      <c r="AM7" t="s">
        <v>775</v>
      </c>
      <c r="AN7" t="s">
        <v>418</v>
      </c>
      <c r="AO7" t="s">
        <v>427</v>
      </c>
      <c r="AP7" t="s">
        <v>776</v>
      </c>
      <c r="AQ7" t="s">
        <v>251</v>
      </c>
      <c r="AR7" t="s">
        <v>433</v>
      </c>
      <c r="AV7" t="s">
        <v>266</v>
      </c>
      <c r="AX7" t="s">
        <v>456</v>
      </c>
      <c r="AY7" t="s">
        <v>262</v>
      </c>
      <c r="AZ7" t="s">
        <v>456</v>
      </c>
      <c r="BA7" t="str">
        <f t="shared" si="0"/>
        <v>S3_AirTravelLonverBT_Units</v>
      </c>
      <c r="BB7" t="s">
        <v>268</v>
      </c>
      <c r="BE7" t="s">
        <v>484</v>
      </c>
      <c r="BG7" t="s">
        <v>485</v>
      </c>
      <c r="BH7" t="s">
        <v>489</v>
      </c>
    </row>
    <row r="8" spans="1:60">
      <c r="F8" t="s">
        <v>678</v>
      </c>
      <c r="G8" t="s">
        <v>313</v>
      </c>
      <c r="I8" t="s">
        <v>322</v>
      </c>
      <c r="J8" t="s">
        <v>312</v>
      </c>
      <c r="M8" t="s">
        <v>680</v>
      </c>
      <c r="N8" t="s">
        <v>357</v>
      </c>
      <c r="O8" t="s">
        <v>777</v>
      </c>
      <c r="P8" t="s">
        <v>358</v>
      </c>
      <c r="Q8" t="s">
        <v>247</v>
      </c>
      <c r="R8" t="s">
        <v>207</v>
      </c>
      <c r="U8" t="s">
        <v>376</v>
      </c>
      <c r="AF8" t="s">
        <v>266</v>
      </c>
      <c r="AH8" t="s">
        <v>354</v>
      </c>
      <c r="AI8" t="s">
        <v>357</v>
      </c>
      <c r="AL8" t="s">
        <v>206</v>
      </c>
      <c r="AN8" t="s">
        <v>420</v>
      </c>
      <c r="AO8" t="s">
        <v>427</v>
      </c>
      <c r="AQ8" t="s">
        <v>264</v>
      </c>
      <c r="AR8" t="s">
        <v>441</v>
      </c>
      <c r="AV8" t="s">
        <v>266</v>
      </c>
      <c r="AX8" t="s">
        <v>457</v>
      </c>
      <c r="AY8" t="s">
        <v>360</v>
      </c>
      <c r="AZ8" t="s">
        <v>457</v>
      </c>
      <c r="BA8" t="str">
        <f t="shared" si="0"/>
        <v>S3_AirTravelLonconBT_Units</v>
      </c>
      <c r="BB8" t="s">
        <v>268</v>
      </c>
      <c r="BE8" t="s">
        <v>486</v>
      </c>
      <c r="BF8" t="s">
        <v>778</v>
      </c>
      <c r="BG8" t="s">
        <v>485</v>
      </c>
      <c r="BH8" t="s">
        <v>490</v>
      </c>
    </row>
    <row r="9" spans="1:60">
      <c r="F9" t="s">
        <v>679</v>
      </c>
      <c r="G9" t="s">
        <v>316</v>
      </c>
      <c r="H9" t="s">
        <v>779</v>
      </c>
      <c r="I9" t="s">
        <v>192</v>
      </c>
      <c r="J9" t="s">
        <v>315</v>
      </c>
      <c r="M9" t="s">
        <v>681</v>
      </c>
      <c r="N9" t="s">
        <v>357</v>
      </c>
      <c r="P9" t="s">
        <v>354</v>
      </c>
      <c r="Q9" t="s">
        <v>342</v>
      </c>
      <c r="R9" t="s">
        <v>354</v>
      </c>
      <c r="U9" t="s">
        <v>377</v>
      </c>
      <c r="AF9" t="s">
        <v>352</v>
      </c>
      <c r="AG9" t="s">
        <v>780</v>
      </c>
      <c r="AH9" t="s">
        <v>353</v>
      </c>
      <c r="AI9" t="s">
        <v>360</v>
      </c>
      <c r="AL9" t="s">
        <v>206</v>
      </c>
      <c r="AN9" t="s">
        <v>421</v>
      </c>
      <c r="AO9" t="s">
        <v>427</v>
      </c>
      <c r="AQ9" t="s">
        <v>419</v>
      </c>
      <c r="AV9" t="s">
        <v>266</v>
      </c>
      <c r="AX9" t="s">
        <v>458</v>
      </c>
      <c r="AZ9" t="s">
        <v>458</v>
      </c>
      <c r="BA9" t="str">
        <f t="shared" si="0"/>
        <v>S3_AirTravelLonremBT_Units</v>
      </c>
      <c r="BB9" t="s">
        <v>268</v>
      </c>
      <c r="BE9" t="s">
        <v>486</v>
      </c>
      <c r="BG9" t="s">
        <v>487</v>
      </c>
      <c r="BH9" t="s">
        <v>279</v>
      </c>
    </row>
    <row r="10" spans="1:60">
      <c r="F10" t="s">
        <v>680</v>
      </c>
      <c r="G10" t="s">
        <v>191</v>
      </c>
      <c r="H10" t="s">
        <v>781</v>
      </c>
      <c r="I10" t="s">
        <v>192</v>
      </c>
      <c r="J10" t="s">
        <v>317</v>
      </c>
      <c r="M10" t="s">
        <v>193</v>
      </c>
      <c r="N10" t="s">
        <v>360</v>
      </c>
      <c r="O10" t="s">
        <v>782</v>
      </c>
      <c r="P10" t="s">
        <v>203</v>
      </c>
      <c r="Q10" t="s">
        <v>206</v>
      </c>
      <c r="R10" t="s">
        <v>358</v>
      </c>
      <c r="U10" t="s">
        <v>378</v>
      </c>
      <c r="AF10" t="s">
        <v>352</v>
      </c>
      <c r="AH10" t="s">
        <v>354</v>
      </c>
      <c r="AI10" t="s">
        <v>433</v>
      </c>
      <c r="AL10" t="s">
        <v>206</v>
      </c>
      <c r="AN10" t="s">
        <v>250</v>
      </c>
      <c r="AO10" t="s">
        <v>257</v>
      </c>
      <c r="AP10" t="s">
        <v>783</v>
      </c>
      <c r="AQ10" t="s">
        <v>251</v>
      </c>
      <c r="AV10" t="s">
        <v>266</v>
      </c>
      <c r="AX10" t="s">
        <v>267</v>
      </c>
      <c r="AZ10" t="s">
        <v>267</v>
      </c>
      <c r="BA10" t="str">
        <f t="shared" si="0"/>
        <v>S3_AirTravelLonusiBT_Units</v>
      </c>
      <c r="BB10" t="s">
        <v>268</v>
      </c>
      <c r="BE10" t="s">
        <v>488</v>
      </c>
      <c r="BF10" t="s">
        <v>784</v>
      </c>
      <c r="BG10" t="s">
        <v>487</v>
      </c>
      <c r="BH10" t="s">
        <v>492</v>
      </c>
    </row>
    <row r="11" spans="1:60">
      <c r="F11" t="s">
        <v>681</v>
      </c>
      <c r="G11" t="s">
        <v>191</v>
      </c>
      <c r="I11" t="s">
        <v>320</v>
      </c>
      <c r="J11" t="s">
        <v>693</v>
      </c>
      <c r="M11" t="s">
        <v>706</v>
      </c>
      <c r="N11" t="s">
        <v>340</v>
      </c>
      <c r="O11" t="s">
        <v>785</v>
      </c>
      <c r="P11" t="s">
        <v>203</v>
      </c>
      <c r="Q11" t="s">
        <v>202</v>
      </c>
      <c r="R11" t="s">
        <v>248</v>
      </c>
      <c r="U11" t="s">
        <v>225</v>
      </c>
      <c r="AF11" t="s">
        <v>356</v>
      </c>
      <c r="AG11" t="s">
        <v>786</v>
      </c>
      <c r="AH11" t="s">
        <v>354</v>
      </c>
      <c r="AI11" t="s">
        <v>323</v>
      </c>
      <c r="AL11" t="s">
        <v>206</v>
      </c>
      <c r="AN11" t="s">
        <v>422</v>
      </c>
      <c r="AO11" t="s">
        <v>433</v>
      </c>
      <c r="AP11" t="s">
        <v>787</v>
      </c>
      <c r="AQ11" t="s">
        <v>251</v>
      </c>
      <c r="AV11" t="s">
        <v>266</v>
      </c>
      <c r="AX11" t="s">
        <v>459</v>
      </c>
      <c r="AZ11" t="s">
        <v>459</v>
      </c>
      <c r="BA11" t="str">
        <f t="shared" si="0"/>
        <v>S3_AirTravelLonirsBT_Units</v>
      </c>
      <c r="BB11" t="s">
        <v>268</v>
      </c>
      <c r="BE11" t="s">
        <v>488</v>
      </c>
      <c r="BH11" t="s">
        <v>494</v>
      </c>
    </row>
    <row r="12" spans="1:60">
      <c r="D12" s="1"/>
      <c r="E12" s="1"/>
      <c r="F12" s="1"/>
      <c r="G12" s="264" t="s">
        <v>191</v>
      </c>
      <c r="H12" s="1"/>
      <c r="I12" s="1" t="s">
        <v>322</v>
      </c>
      <c r="J12" s="1" t="s">
        <v>695</v>
      </c>
      <c r="K12" s="1"/>
      <c r="L12" s="1"/>
      <c r="M12" s="1"/>
      <c r="N12" s="396" t="s">
        <v>340</v>
      </c>
      <c r="O12" s="397"/>
      <c r="P12" s="397" t="s">
        <v>1302</v>
      </c>
      <c r="Q12" s="1" t="s">
        <v>360</v>
      </c>
      <c r="R12" s="1"/>
      <c r="S12" s="1"/>
      <c r="T12" s="1"/>
      <c r="U12" s="1" t="s">
        <v>227</v>
      </c>
      <c r="V12" s="1"/>
      <c r="W12" s="1"/>
      <c r="X12" s="1"/>
      <c r="Y12" s="1"/>
      <c r="Z12" s="1"/>
      <c r="AF12" t="s">
        <v>355</v>
      </c>
      <c r="AG12" t="s">
        <v>788</v>
      </c>
      <c r="AH12" t="s">
        <v>354</v>
      </c>
      <c r="AI12" t="s">
        <v>340</v>
      </c>
      <c r="AL12" t="s">
        <v>206</v>
      </c>
      <c r="AN12" t="s">
        <v>423</v>
      </c>
      <c r="AO12" t="s">
        <v>441</v>
      </c>
      <c r="AP12" t="s">
        <v>789</v>
      </c>
      <c r="AQ12" t="s">
        <v>251</v>
      </c>
      <c r="AV12" t="s">
        <v>266</v>
      </c>
      <c r="AX12" t="s">
        <v>461</v>
      </c>
      <c r="AZ12" t="s">
        <v>461</v>
      </c>
      <c r="BA12" t="str">
        <f>"S3_AirTravel"&amp;LEFT(AZ12,3)&amp;MID(AZ12,33,3)&amp;"BT_Units"</f>
        <v>S3_AirTravelIntAveBT_Units</v>
      </c>
      <c r="BB12" t="s">
        <v>268</v>
      </c>
      <c r="BE12" t="s">
        <v>489</v>
      </c>
      <c r="BF12" t="s">
        <v>790</v>
      </c>
      <c r="BG12" t="s">
        <v>284</v>
      </c>
      <c r="BH12" t="s">
        <v>495</v>
      </c>
    </row>
    <row r="13" spans="1:60">
      <c r="G13" t="s">
        <v>191</v>
      </c>
      <c r="I13" t="s">
        <v>323</v>
      </c>
      <c r="J13" t="s">
        <v>314</v>
      </c>
      <c r="N13" s="1" t="s">
        <v>340</v>
      </c>
      <c r="O13" s="1"/>
      <c r="P13" s="1" t="s">
        <v>248</v>
      </c>
      <c r="Q13" t="s">
        <v>347</v>
      </c>
      <c r="U13" t="s">
        <v>379</v>
      </c>
      <c r="AF13" t="s">
        <v>357</v>
      </c>
      <c r="AG13" t="s">
        <v>792</v>
      </c>
      <c r="AH13" t="s">
        <v>354</v>
      </c>
      <c r="AI13" t="s">
        <v>348</v>
      </c>
      <c r="AL13" t="s">
        <v>206</v>
      </c>
      <c r="AN13" t="s">
        <v>424</v>
      </c>
      <c r="AO13" t="s">
        <v>441</v>
      </c>
      <c r="AQ13" t="s">
        <v>264</v>
      </c>
      <c r="AV13" t="s">
        <v>266</v>
      </c>
      <c r="AX13" t="s">
        <v>462</v>
      </c>
      <c r="AZ13" t="s">
        <v>462</v>
      </c>
      <c r="BA13" t="str">
        <f t="shared" ref="BA13:BA16" si="1">"S3_AirTravel"&amp;LEFT(AZ13,3)&amp;MID(AZ13,33,3)&amp;"BT_Units"</f>
        <v>S3_AirTravelIntEcoBT_Units</v>
      </c>
      <c r="BB13" t="s">
        <v>268</v>
      </c>
      <c r="BE13" t="s">
        <v>490</v>
      </c>
      <c r="BF13" t="s">
        <v>793</v>
      </c>
      <c r="BG13" t="s">
        <v>280</v>
      </c>
      <c r="BH13" t="s">
        <v>496</v>
      </c>
    </row>
    <row r="14" spans="1:60">
      <c r="G14" t="s">
        <v>191</v>
      </c>
      <c r="I14" t="s">
        <v>324</v>
      </c>
      <c r="N14" t="s">
        <v>206</v>
      </c>
      <c r="O14" t="s">
        <v>791</v>
      </c>
      <c r="P14" t="s">
        <v>345</v>
      </c>
      <c r="Q14" t="s">
        <v>343</v>
      </c>
      <c r="U14" t="s">
        <v>380</v>
      </c>
      <c r="AF14" t="s">
        <v>360</v>
      </c>
      <c r="AG14" t="s">
        <v>794</v>
      </c>
      <c r="AH14" t="s">
        <v>203</v>
      </c>
      <c r="AI14" t="s">
        <v>206</v>
      </c>
      <c r="AL14" t="s">
        <v>206</v>
      </c>
      <c r="AN14" t="s">
        <v>425</v>
      </c>
      <c r="AO14" t="s">
        <v>441</v>
      </c>
      <c r="AQ14" t="s">
        <v>419</v>
      </c>
      <c r="AV14" t="s">
        <v>266</v>
      </c>
      <c r="AX14" t="s">
        <v>463</v>
      </c>
      <c r="AZ14" t="s">
        <v>463</v>
      </c>
      <c r="BA14" t="str">
        <f t="shared" si="1"/>
        <v>S3_AirTravelIntPreBT_Units</v>
      </c>
      <c r="BB14" t="s">
        <v>268</v>
      </c>
      <c r="BE14" t="s">
        <v>490</v>
      </c>
      <c r="BG14" t="s">
        <v>284</v>
      </c>
      <c r="BH14" t="s">
        <v>497</v>
      </c>
    </row>
    <row r="15" spans="1:60">
      <c r="G15" t="s">
        <v>191</v>
      </c>
      <c r="I15" t="s">
        <v>325</v>
      </c>
      <c r="N15" t="s">
        <v>206</v>
      </c>
      <c r="P15" t="s">
        <v>346</v>
      </c>
      <c r="U15" t="s">
        <v>381</v>
      </c>
      <c r="AF15" t="s">
        <v>433</v>
      </c>
      <c r="AG15" t="s">
        <v>795</v>
      </c>
      <c r="AH15" t="s">
        <v>248</v>
      </c>
      <c r="AI15" t="s">
        <v>202</v>
      </c>
      <c r="AL15" t="s">
        <v>427</v>
      </c>
      <c r="AM15" t="s">
        <v>796</v>
      </c>
      <c r="AN15" t="s">
        <v>418</v>
      </c>
      <c r="AV15" t="s">
        <v>266</v>
      </c>
      <c r="AX15" t="s">
        <v>464</v>
      </c>
      <c r="AZ15" t="s">
        <v>464</v>
      </c>
      <c r="BA15" t="str">
        <f t="shared" si="1"/>
        <v>S3_AirTravelIntBusBT_Units</v>
      </c>
      <c r="BB15" t="s">
        <v>268</v>
      </c>
      <c r="BE15" t="s">
        <v>279</v>
      </c>
      <c r="BF15" t="s">
        <v>797</v>
      </c>
      <c r="BG15" t="s">
        <v>280</v>
      </c>
      <c r="BH15" t="s">
        <v>498</v>
      </c>
    </row>
    <row r="16" spans="1:60">
      <c r="G16" t="s">
        <v>196</v>
      </c>
      <c r="H16" t="s">
        <v>798</v>
      </c>
      <c r="I16" t="s">
        <v>192</v>
      </c>
      <c r="N16" t="s">
        <v>206</v>
      </c>
      <c r="P16" t="s">
        <v>203</v>
      </c>
      <c r="U16" t="s">
        <v>382</v>
      </c>
      <c r="AF16" t="s">
        <v>323</v>
      </c>
      <c r="AG16" t="s">
        <v>799</v>
      </c>
      <c r="AH16" t="s">
        <v>345</v>
      </c>
      <c r="AI16" t="s">
        <v>322</v>
      </c>
      <c r="AL16" t="s">
        <v>427</v>
      </c>
      <c r="AN16" t="s">
        <v>420</v>
      </c>
      <c r="AV16" t="s">
        <v>266</v>
      </c>
      <c r="AX16" t="s">
        <v>465</v>
      </c>
      <c r="AZ16" t="s">
        <v>465</v>
      </c>
      <c r="BA16" t="str">
        <f t="shared" si="1"/>
        <v>S3_AirTravelIntFirBT_Units</v>
      </c>
      <c r="BB16" t="s">
        <v>268</v>
      </c>
      <c r="BE16" t="s">
        <v>279</v>
      </c>
      <c r="BG16" t="s">
        <v>284</v>
      </c>
      <c r="BH16" t="s">
        <v>499</v>
      </c>
    </row>
    <row r="17" spans="7:60">
      <c r="G17" t="s">
        <v>196</v>
      </c>
      <c r="I17" t="s">
        <v>320</v>
      </c>
      <c r="N17" t="s">
        <v>206</v>
      </c>
      <c r="P17" t="s">
        <v>207</v>
      </c>
      <c r="U17" t="s">
        <v>383</v>
      </c>
      <c r="AF17" t="s">
        <v>323</v>
      </c>
      <c r="AH17" t="s">
        <v>203</v>
      </c>
      <c r="AI17" t="s">
        <v>347</v>
      </c>
      <c r="AL17" t="s">
        <v>427</v>
      </c>
      <c r="AN17" t="s">
        <v>421</v>
      </c>
      <c r="AV17" t="s">
        <v>466</v>
      </c>
      <c r="AW17" t="s">
        <v>801</v>
      </c>
      <c r="AX17" t="s">
        <v>467</v>
      </c>
      <c r="AZ17" t="s">
        <v>467</v>
      </c>
      <c r="BA17" t="str">
        <f>"S3_Ferry"&amp;LEFT(AZ17,3)&amp;"BT_Units"</f>
        <v>S3_FerryFooBT_Units</v>
      </c>
      <c r="BB17" t="s">
        <v>268</v>
      </c>
      <c r="BE17" t="s">
        <v>492</v>
      </c>
      <c r="BF17" t="s">
        <v>802</v>
      </c>
      <c r="BG17" t="s">
        <v>493</v>
      </c>
      <c r="BH17" t="s">
        <v>500</v>
      </c>
    </row>
    <row r="18" spans="7:60">
      <c r="G18" t="s">
        <v>196</v>
      </c>
      <c r="I18" t="s">
        <v>322</v>
      </c>
      <c r="N18" t="s">
        <v>202</v>
      </c>
      <c r="O18" t="s">
        <v>800</v>
      </c>
      <c r="P18" t="s">
        <v>345</v>
      </c>
      <c r="U18" t="s">
        <v>384</v>
      </c>
      <c r="AF18" t="s">
        <v>323</v>
      </c>
      <c r="AH18" t="s">
        <v>207</v>
      </c>
      <c r="AI18" t="s">
        <v>343</v>
      </c>
      <c r="AL18" t="s">
        <v>427</v>
      </c>
      <c r="AN18" t="s">
        <v>250</v>
      </c>
      <c r="AV18" t="s">
        <v>466</v>
      </c>
      <c r="AX18" t="s">
        <v>468</v>
      </c>
      <c r="AZ18" t="s">
        <v>468</v>
      </c>
      <c r="BA18" t="str">
        <f t="shared" ref="BA18:BA19" si="2">"S3_Ferry"&amp;LEFT(AZ18,3)&amp;"BT_Units"</f>
        <v>S3_FerryCarBT_Units</v>
      </c>
      <c r="BB18" t="s">
        <v>268</v>
      </c>
      <c r="BE18" t="s">
        <v>494</v>
      </c>
      <c r="BF18" t="str">
        <f>"S3_Waste_"&amp;BE18</f>
        <v>S3_Waste_Aggregates</v>
      </c>
      <c r="BG18" t="s">
        <v>280</v>
      </c>
      <c r="BH18" t="s">
        <v>501</v>
      </c>
    </row>
    <row r="19" spans="7:60">
      <c r="G19" t="s">
        <v>311</v>
      </c>
      <c r="H19" t="s">
        <v>803</v>
      </c>
      <c r="I19" t="s">
        <v>192</v>
      </c>
      <c r="N19" t="s">
        <v>202</v>
      </c>
      <c r="P19" t="s">
        <v>346</v>
      </c>
      <c r="U19" t="s">
        <v>385</v>
      </c>
      <c r="AF19" t="s">
        <v>340</v>
      </c>
      <c r="AG19" t="s">
        <v>804</v>
      </c>
      <c r="AH19" t="s">
        <v>203</v>
      </c>
      <c r="AI19" t="s">
        <v>324</v>
      </c>
      <c r="AL19" t="s">
        <v>427</v>
      </c>
      <c r="AN19" t="s">
        <v>422</v>
      </c>
      <c r="AV19" t="s">
        <v>466</v>
      </c>
      <c r="AX19" t="s">
        <v>469</v>
      </c>
      <c r="AZ19" t="s">
        <v>469</v>
      </c>
      <c r="BA19" t="str">
        <f t="shared" si="2"/>
        <v>S3_FerryAveBT_Units</v>
      </c>
      <c r="BB19" t="s">
        <v>268</v>
      </c>
      <c r="BE19" t="s">
        <v>495</v>
      </c>
      <c r="BF19" t="str">
        <f>"S3_Waste_"&amp;BE19</f>
        <v>S3_Waste_Asbestos</v>
      </c>
      <c r="BG19" t="s">
        <v>485</v>
      </c>
      <c r="BH19" t="s">
        <v>502</v>
      </c>
    </row>
    <row r="20" spans="7:60">
      <c r="G20" t="s">
        <v>311</v>
      </c>
      <c r="I20" t="s">
        <v>322</v>
      </c>
      <c r="N20" t="s">
        <v>202</v>
      </c>
      <c r="P20" t="s">
        <v>203</v>
      </c>
      <c r="U20" t="s">
        <v>386</v>
      </c>
      <c r="AF20" t="s">
        <v>340</v>
      </c>
      <c r="AH20" t="s">
        <v>248</v>
      </c>
      <c r="AI20" t="s">
        <v>247</v>
      </c>
      <c r="AL20" t="s">
        <v>427</v>
      </c>
      <c r="AN20" t="s">
        <v>423</v>
      </c>
      <c r="AV20" t="s">
        <v>272</v>
      </c>
      <c r="AW20" t="s">
        <v>805</v>
      </c>
      <c r="AX20" t="s">
        <v>203</v>
      </c>
      <c r="AZ20" t="s">
        <v>203</v>
      </c>
      <c r="BA20" t="str">
        <f>"S3_PassengerCars"&amp;LEFT(AZ20,3)&amp;"BT_Units"</f>
        <v>S3_PassengerCarsDieBT_Units</v>
      </c>
      <c r="BB20" t="s">
        <v>264</v>
      </c>
      <c r="BE20" t="s">
        <v>496</v>
      </c>
      <c r="BF20" t="str">
        <f>"S3_Waste_"&amp;BE20</f>
        <v>S3_Waste_Bricks</v>
      </c>
      <c r="BG20" t="s">
        <v>493</v>
      </c>
      <c r="BH20" t="s">
        <v>503</v>
      </c>
    </row>
    <row r="21" spans="7:60">
      <c r="G21" t="s">
        <v>311</v>
      </c>
      <c r="I21" t="s">
        <v>323</v>
      </c>
      <c r="N21" t="s">
        <v>202</v>
      </c>
      <c r="P21" t="s">
        <v>207</v>
      </c>
      <c r="U21" t="s">
        <v>387</v>
      </c>
      <c r="AF21" s="397" t="s">
        <v>340</v>
      </c>
      <c r="AG21" s="397"/>
      <c r="AH21" s="397" t="s">
        <v>1302</v>
      </c>
      <c r="AI21" t="s">
        <v>342</v>
      </c>
      <c r="AL21" t="s">
        <v>427</v>
      </c>
      <c r="AN21" t="s">
        <v>424</v>
      </c>
      <c r="AV21" t="s">
        <v>272</v>
      </c>
      <c r="AX21" t="s">
        <v>471</v>
      </c>
      <c r="AZ21" t="s">
        <v>471</v>
      </c>
      <c r="BA21" t="str">
        <f t="shared" ref="BA21:BA27" si="3">"S3_PassengerCars"&amp;LEFT(AZ21,3)&amp;"BT_Units"</f>
        <v>S3_PassengerCarsPetBT_Units</v>
      </c>
      <c r="BB21" t="s">
        <v>264</v>
      </c>
      <c r="BE21" t="s">
        <v>496</v>
      </c>
      <c r="BG21" t="s">
        <v>485</v>
      </c>
      <c r="BH21" t="s">
        <v>808</v>
      </c>
    </row>
    <row r="22" spans="7:60">
      <c r="G22" t="s">
        <v>311</v>
      </c>
      <c r="I22" t="s">
        <v>324</v>
      </c>
      <c r="N22" t="s">
        <v>347</v>
      </c>
      <c r="O22" t="s">
        <v>806</v>
      </c>
      <c r="P22" t="s">
        <v>345</v>
      </c>
      <c r="U22" t="s">
        <v>388</v>
      </c>
      <c r="AF22" t="s">
        <v>348</v>
      </c>
      <c r="AG22" t="s">
        <v>807</v>
      </c>
      <c r="AH22" t="s">
        <v>345</v>
      </c>
      <c r="AI22" t="s">
        <v>257</v>
      </c>
      <c r="AL22" t="s">
        <v>427</v>
      </c>
      <c r="AN22" t="s">
        <v>425</v>
      </c>
      <c r="AV22" t="s">
        <v>272</v>
      </c>
      <c r="AX22" t="s">
        <v>472</v>
      </c>
      <c r="AZ22" t="s">
        <v>472</v>
      </c>
      <c r="BA22" t="str">
        <f t="shared" si="3"/>
        <v>S3_PassengerCarsHybBT_Units</v>
      </c>
      <c r="BB22" t="s">
        <v>264</v>
      </c>
      <c r="BE22" t="s">
        <v>497</v>
      </c>
      <c r="BF22" t="str">
        <f t="shared" ref="BF22:BF28" si="4">"S3_Waste_"&amp;BE22</f>
        <v>S3_Waste_Insulation</v>
      </c>
      <c r="BG22" t="s">
        <v>485</v>
      </c>
    </row>
    <row r="23" spans="7:60">
      <c r="G23" t="s">
        <v>311</v>
      </c>
      <c r="I23" t="s">
        <v>325</v>
      </c>
      <c r="N23" t="s">
        <v>347</v>
      </c>
      <c r="P23" t="s">
        <v>207</v>
      </c>
      <c r="U23" t="s">
        <v>389</v>
      </c>
      <c r="AF23" t="s">
        <v>348</v>
      </c>
      <c r="AH23" t="s">
        <v>203</v>
      </c>
      <c r="AL23" t="s">
        <v>257</v>
      </c>
      <c r="AM23" t="s">
        <v>810</v>
      </c>
      <c r="AN23" t="s">
        <v>258</v>
      </c>
      <c r="AV23" t="s">
        <v>272</v>
      </c>
      <c r="AX23" t="s">
        <v>473</v>
      </c>
      <c r="AZ23" t="s">
        <v>473</v>
      </c>
      <c r="BA23" t="str">
        <f t="shared" si="3"/>
        <v>S3_PassengerCarsCNGBT_Units</v>
      </c>
      <c r="BB23" t="s">
        <v>264</v>
      </c>
      <c r="BE23" t="s">
        <v>498</v>
      </c>
      <c r="BF23" t="str">
        <f t="shared" si="4"/>
        <v>S3_Waste_Metals</v>
      </c>
      <c r="BG23" t="s">
        <v>280</v>
      </c>
    </row>
    <row r="24" spans="7:60">
      <c r="G24" t="s">
        <v>312</v>
      </c>
      <c r="H24" t="s">
        <v>811</v>
      </c>
      <c r="I24" t="s">
        <v>192</v>
      </c>
      <c r="N24" t="s">
        <v>343</v>
      </c>
      <c r="O24" t="s">
        <v>809</v>
      </c>
      <c r="P24" t="s">
        <v>345</v>
      </c>
      <c r="U24" t="s">
        <v>390</v>
      </c>
      <c r="AF24" t="s">
        <v>348</v>
      </c>
      <c r="AH24" t="s">
        <v>207</v>
      </c>
      <c r="AL24" t="s">
        <v>257</v>
      </c>
      <c r="AN24" t="s">
        <v>428</v>
      </c>
      <c r="AV24" t="s">
        <v>272</v>
      </c>
      <c r="AX24" t="s">
        <v>312</v>
      </c>
      <c r="AZ24" t="s">
        <v>312</v>
      </c>
      <c r="BA24" t="str">
        <f t="shared" si="3"/>
        <v>S3_PassengerCarsLPGBT_Units</v>
      </c>
      <c r="BB24" t="s">
        <v>264</v>
      </c>
      <c r="BE24" t="s">
        <v>499</v>
      </c>
      <c r="BF24" t="str">
        <f t="shared" si="4"/>
        <v>S3_Waste_Soils</v>
      </c>
      <c r="BG24" t="s">
        <v>280</v>
      </c>
    </row>
    <row r="25" spans="7:60">
      <c r="G25" t="s">
        <v>312</v>
      </c>
      <c r="I25" t="s">
        <v>320</v>
      </c>
      <c r="N25" t="s">
        <v>343</v>
      </c>
      <c r="P25" t="s">
        <v>346</v>
      </c>
      <c r="U25" t="s">
        <v>392</v>
      </c>
      <c r="AF25" t="s">
        <v>206</v>
      </c>
      <c r="AG25" t="s">
        <v>812</v>
      </c>
      <c r="AH25" t="s">
        <v>345</v>
      </c>
      <c r="AL25" t="s">
        <v>257</v>
      </c>
      <c r="AN25" t="s">
        <v>429</v>
      </c>
      <c r="AV25" t="s">
        <v>272</v>
      </c>
      <c r="AX25" t="s">
        <v>474</v>
      </c>
      <c r="AZ25" t="s">
        <v>474</v>
      </c>
      <c r="BA25" t="str">
        <f t="shared" si="3"/>
        <v>S3_PassengerCarsUnkBT_Units</v>
      </c>
      <c r="BB25" t="s">
        <v>264</v>
      </c>
      <c r="BE25" t="s">
        <v>500</v>
      </c>
      <c r="BF25" t="str">
        <f t="shared" si="4"/>
        <v>S3_Waste_Mineral oil</v>
      </c>
      <c r="BG25" t="s">
        <v>280</v>
      </c>
    </row>
    <row r="26" spans="7:60">
      <c r="G26" t="s">
        <v>312</v>
      </c>
      <c r="I26" t="s">
        <v>323</v>
      </c>
      <c r="N26" t="s">
        <v>343</v>
      </c>
      <c r="P26" t="s">
        <v>203</v>
      </c>
      <c r="U26" t="s">
        <v>393</v>
      </c>
      <c r="AF26" t="s">
        <v>206</v>
      </c>
      <c r="AH26" t="s">
        <v>346</v>
      </c>
      <c r="AL26" t="s">
        <v>257</v>
      </c>
      <c r="AN26" t="s">
        <v>430</v>
      </c>
      <c r="AV26" t="s">
        <v>272</v>
      </c>
      <c r="AX26" t="s">
        <v>475</v>
      </c>
      <c r="AZ26" t="s">
        <v>475</v>
      </c>
      <c r="BA26" t="str">
        <f t="shared" si="3"/>
        <v>S3_PassengerCarsPluBT_Units</v>
      </c>
      <c r="BB26" t="s">
        <v>264</v>
      </c>
      <c r="BE26" t="s">
        <v>501</v>
      </c>
      <c r="BF26" t="str">
        <f t="shared" si="4"/>
        <v>S3_Waste_Plasterboard</v>
      </c>
      <c r="BG26" t="s">
        <v>280</v>
      </c>
    </row>
    <row r="27" spans="7:60">
      <c r="G27" t="s">
        <v>312</v>
      </c>
      <c r="I27" t="s">
        <v>324</v>
      </c>
      <c r="N27" t="s">
        <v>343</v>
      </c>
      <c r="P27" t="s">
        <v>207</v>
      </c>
      <c r="U27" t="s">
        <v>395</v>
      </c>
      <c r="AF27" t="s">
        <v>206</v>
      </c>
      <c r="AH27" t="s">
        <v>203</v>
      </c>
      <c r="AL27" t="s">
        <v>257</v>
      </c>
      <c r="AN27" t="s">
        <v>431</v>
      </c>
      <c r="AV27" t="s">
        <v>272</v>
      </c>
      <c r="AX27" t="s">
        <v>476</v>
      </c>
      <c r="AZ27" t="s">
        <v>476</v>
      </c>
      <c r="BA27" t="str">
        <f t="shared" si="3"/>
        <v>S3_PassengerCarsBatBT_Units</v>
      </c>
      <c r="BB27" t="s">
        <v>264</v>
      </c>
      <c r="BE27" t="s">
        <v>502</v>
      </c>
      <c r="BF27" t="str">
        <f t="shared" si="4"/>
        <v>S3_Waste_Tyres</v>
      </c>
      <c r="BG27" t="s">
        <v>280</v>
      </c>
    </row>
    <row r="28" spans="7:60">
      <c r="G28" t="s">
        <v>312</v>
      </c>
      <c r="I28" t="s">
        <v>325</v>
      </c>
      <c r="N28" t="s">
        <v>247</v>
      </c>
      <c r="O28" t="s">
        <v>813</v>
      </c>
      <c r="P28" t="s">
        <v>203</v>
      </c>
      <c r="U28" t="s">
        <v>396</v>
      </c>
      <c r="AF28" t="s">
        <v>206</v>
      </c>
      <c r="AH28" t="s">
        <v>207</v>
      </c>
      <c r="AL28" t="s">
        <v>433</v>
      </c>
      <c r="AM28" t="s">
        <v>815</v>
      </c>
      <c r="AN28" t="s">
        <v>434</v>
      </c>
      <c r="AV28" t="s">
        <v>347</v>
      </c>
      <c r="AW28" t="s">
        <v>816</v>
      </c>
      <c r="AX28" t="s">
        <v>478</v>
      </c>
      <c r="AZ28" t="s">
        <v>478</v>
      </c>
      <c r="BA28" t="str">
        <f>"S3_AvgMotorbike"&amp;LEFT(AZ28,3)&amp;"BT_Units"</f>
        <v>S3_AvgMotorbikeAveBT_Units</v>
      </c>
      <c r="BB28" t="s">
        <v>264</v>
      </c>
      <c r="BE28" t="s">
        <v>503</v>
      </c>
      <c r="BF28" t="str">
        <f t="shared" si="4"/>
        <v>S3_Waste_Wood</v>
      </c>
      <c r="BG28" t="s">
        <v>280</v>
      </c>
    </row>
    <row r="29" spans="7:60">
      <c r="G29" t="s">
        <v>312</v>
      </c>
      <c r="I29" t="s">
        <v>322</v>
      </c>
      <c r="N29" t="s">
        <v>247</v>
      </c>
      <c r="P29" t="s">
        <v>248</v>
      </c>
      <c r="U29" t="s">
        <v>397</v>
      </c>
      <c r="AF29" t="s">
        <v>202</v>
      </c>
      <c r="AG29" t="s">
        <v>814</v>
      </c>
      <c r="AH29" t="s">
        <v>345</v>
      </c>
      <c r="AL29" t="s">
        <v>433</v>
      </c>
      <c r="AN29" t="s">
        <v>435</v>
      </c>
      <c r="AV29" t="s">
        <v>262</v>
      </c>
      <c r="AW29" t="s">
        <v>817</v>
      </c>
      <c r="AX29" t="s">
        <v>263</v>
      </c>
      <c r="AZ29" t="s">
        <v>263</v>
      </c>
      <c r="BA29" t="str">
        <f>"S3_Taxi"&amp;LEFT(AZ29,3)&amp;"BT_Units"</f>
        <v>S3_TaxiRegBT_Units</v>
      </c>
      <c r="BB29" t="s">
        <v>264</v>
      </c>
      <c r="BE29" t="s">
        <v>503</v>
      </c>
    </row>
    <row r="30" spans="7:60">
      <c r="G30" t="s">
        <v>315</v>
      </c>
      <c r="H30" t="s">
        <v>818</v>
      </c>
      <c r="I30" t="s">
        <v>192</v>
      </c>
      <c r="N30" t="s">
        <v>247</v>
      </c>
      <c r="P30" t="s">
        <v>338</v>
      </c>
      <c r="U30" t="s">
        <v>398</v>
      </c>
      <c r="AF30" t="s">
        <v>202</v>
      </c>
      <c r="AH30" t="s">
        <v>346</v>
      </c>
      <c r="AL30" t="s">
        <v>433</v>
      </c>
      <c r="AN30" t="s">
        <v>436</v>
      </c>
      <c r="AV30" t="s">
        <v>360</v>
      </c>
      <c r="AW30" t="s">
        <v>820</v>
      </c>
      <c r="AX30" t="s">
        <v>479</v>
      </c>
      <c r="BB30" t="s">
        <v>268</v>
      </c>
      <c r="BE30" t="s">
        <v>808</v>
      </c>
      <c r="BF30" t="s">
        <v>821</v>
      </c>
      <c r="BG30" t="s">
        <v>822</v>
      </c>
    </row>
    <row r="31" spans="7:60">
      <c r="G31" t="s">
        <v>317</v>
      </c>
      <c r="H31" t="s">
        <v>823</v>
      </c>
      <c r="I31" t="s">
        <v>192</v>
      </c>
      <c r="N31" t="s">
        <v>342</v>
      </c>
      <c r="O31" t="s">
        <v>819</v>
      </c>
      <c r="P31" t="s">
        <v>203</v>
      </c>
      <c r="U31" t="s">
        <v>399</v>
      </c>
      <c r="AF31" t="s">
        <v>202</v>
      </c>
      <c r="AH31" t="s">
        <v>203</v>
      </c>
      <c r="AL31" t="s">
        <v>433</v>
      </c>
      <c r="AN31" t="s">
        <v>437</v>
      </c>
      <c r="AV31" t="s">
        <v>360</v>
      </c>
      <c r="AX31" t="s">
        <v>480</v>
      </c>
      <c r="AZ31" t="s">
        <v>479</v>
      </c>
      <c r="BA31" t="str">
        <f>"S3_LocalBus"&amp;LEFT(AZ31,3)&amp;"BT_Units"</f>
        <v>S3_LocalBusAveBT_Units</v>
      </c>
      <c r="BB31" t="s">
        <v>268</v>
      </c>
    </row>
    <row r="32" spans="7:60">
      <c r="G32" t="s">
        <v>693</v>
      </c>
      <c r="H32" t="s">
        <v>824</v>
      </c>
      <c r="I32" t="s">
        <v>192</v>
      </c>
      <c r="N32" t="s">
        <v>342</v>
      </c>
      <c r="P32" t="s">
        <v>248</v>
      </c>
      <c r="U32" t="s">
        <v>400</v>
      </c>
      <c r="AF32" t="s">
        <v>202</v>
      </c>
      <c r="AH32" t="s">
        <v>207</v>
      </c>
      <c r="AL32" t="s">
        <v>433</v>
      </c>
      <c r="AN32" t="s">
        <v>438</v>
      </c>
      <c r="AZ32" t="s">
        <v>480</v>
      </c>
      <c r="BA32" t="str">
        <f>"S3_Coach"&amp;LEFT(AZ32,3)&amp;"BT_Units"</f>
        <v>S3_CoachCoaBT_Units</v>
      </c>
      <c r="BB32" t="s">
        <v>268</v>
      </c>
    </row>
    <row r="33" spans="7:40">
      <c r="G33" t="s">
        <v>695</v>
      </c>
      <c r="H33" t="s">
        <v>826</v>
      </c>
      <c r="I33" t="s">
        <v>192</v>
      </c>
      <c r="N33" t="s">
        <v>342</v>
      </c>
      <c r="P33" t="s">
        <v>338</v>
      </c>
      <c r="U33" t="s">
        <v>401</v>
      </c>
      <c r="AF33" t="s">
        <v>322</v>
      </c>
      <c r="AG33" t="s">
        <v>825</v>
      </c>
      <c r="AH33" t="s">
        <v>345</v>
      </c>
      <c r="AL33" t="s">
        <v>433</v>
      </c>
      <c r="AN33" t="s">
        <v>439</v>
      </c>
    </row>
    <row r="34" spans="7:40">
      <c r="G34" t="s">
        <v>314</v>
      </c>
      <c r="H34" t="s">
        <v>827</v>
      </c>
      <c r="I34" t="s">
        <v>192</v>
      </c>
      <c r="U34" t="s">
        <v>402</v>
      </c>
      <c r="AF34" t="s">
        <v>322</v>
      </c>
      <c r="AH34" t="s">
        <v>203</v>
      </c>
      <c r="AL34" t="s">
        <v>433</v>
      </c>
      <c r="AN34" t="s">
        <v>440</v>
      </c>
    </row>
    <row r="35" spans="7:40">
      <c r="G35" t="s">
        <v>314</v>
      </c>
      <c r="I35" t="s">
        <v>320</v>
      </c>
      <c r="U35" t="s">
        <v>403</v>
      </c>
      <c r="AF35" t="s">
        <v>322</v>
      </c>
      <c r="AH35" t="s">
        <v>207</v>
      </c>
      <c r="AL35" t="s">
        <v>441</v>
      </c>
      <c r="AM35" t="s">
        <v>829</v>
      </c>
      <c r="AN35" t="s">
        <v>442</v>
      </c>
    </row>
    <row r="36" spans="7:40">
      <c r="G36" t="s">
        <v>314</v>
      </c>
      <c r="I36" t="s">
        <v>323</v>
      </c>
      <c r="AF36" t="s">
        <v>347</v>
      </c>
      <c r="AG36" t="s">
        <v>828</v>
      </c>
      <c r="AH36" t="s">
        <v>345</v>
      </c>
      <c r="AL36" t="s">
        <v>441</v>
      </c>
      <c r="AN36" t="s">
        <v>443</v>
      </c>
    </row>
    <row r="37" spans="7:40">
      <c r="G37" t="s">
        <v>314</v>
      </c>
      <c r="I37" t="s">
        <v>324</v>
      </c>
      <c r="AF37" t="s">
        <v>347</v>
      </c>
      <c r="AH37" t="s">
        <v>207</v>
      </c>
      <c r="AL37" t="s">
        <v>441</v>
      </c>
      <c r="AN37" t="s">
        <v>444</v>
      </c>
    </row>
    <row r="38" spans="7:40">
      <c r="G38" t="s">
        <v>314</v>
      </c>
      <c r="I38" t="s">
        <v>325</v>
      </c>
      <c r="AF38" t="s">
        <v>343</v>
      </c>
      <c r="AG38" t="s">
        <v>830</v>
      </c>
      <c r="AH38" t="s">
        <v>345</v>
      </c>
      <c r="AL38" t="s">
        <v>441</v>
      </c>
      <c r="AN38" t="s">
        <v>445</v>
      </c>
    </row>
    <row r="39" spans="7:40">
      <c r="G39" t="s">
        <v>314</v>
      </c>
      <c r="I39" t="s">
        <v>322</v>
      </c>
      <c r="AF39" t="s">
        <v>343</v>
      </c>
      <c r="AH39" t="s">
        <v>346</v>
      </c>
      <c r="AL39" t="s">
        <v>441</v>
      </c>
      <c r="AN39" t="s">
        <v>446</v>
      </c>
    </row>
    <row r="40" spans="7:40">
      <c r="AF40" t="s">
        <v>343</v>
      </c>
      <c r="AH40" t="s">
        <v>203</v>
      </c>
      <c r="AL40" t="s">
        <v>441</v>
      </c>
      <c r="AN40" t="s">
        <v>447</v>
      </c>
    </row>
    <row r="41" spans="7:40">
      <c r="AF41" t="s">
        <v>343</v>
      </c>
      <c r="AH41" t="s">
        <v>207</v>
      </c>
    </row>
    <row r="42" spans="7:40">
      <c r="AF42" t="s">
        <v>324</v>
      </c>
      <c r="AG42" t="s">
        <v>831</v>
      </c>
      <c r="AH42" t="s">
        <v>345</v>
      </c>
    </row>
    <row r="43" spans="7:40">
      <c r="AF43" t="s">
        <v>324</v>
      </c>
      <c r="AH43" t="s">
        <v>207</v>
      </c>
    </row>
    <row r="44" spans="7:40">
      <c r="AF44" t="s">
        <v>247</v>
      </c>
      <c r="AG44" t="s">
        <v>832</v>
      </c>
      <c r="AH44" t="s">
        <v>203</v>
      </c>
    </row>
    <row r="45" spans="7:40">
      <c r="AF45" t="s">
        <v>247</v>
      </c>
      <c r="AH45" t="s">
        <v>248</v>
      </c>
    </row>
    <row r="46" spans="7:40">
      <c r="AF46" t="s">
        <v>247</v>
      </c>
      <c r="AH46" t="s">
        <v>338</v>
      </c>
    </row>
    <row r="47" spans="7:40">
      <c r="AF47" t="s">
        <v>342</v>
      </c>
      <c r="AG47" t="s">
        <v>833</v>
      </c>
      <c r="AH47" t="s">
        <v>203</v>
      </c>
    </row>
    <row r="48" spans="7:40">
      <c r="AF48" t="s">
        <v>342</v>
      </c>
      <c r="AH48" t="s">
        <v>248</v>
      </c>
    </row>
    <row r="49" spans="32:34">
      <c r="AF49" t="s">
        <v>342</v>
      </c>
      <c r="AH49" t="s">
        <v>338</v>
      </c>
    </row>
    <row r="50" spans="32:34">
      <c r="AF50" t="s">
        <v>257</v>
      </c>
      <c r="AG50" t="s">
        <v>834</v>
      </c>
      <c r="AH50" t="s">
        <v>248</v>
      </c>
    </row>
  </sheetData>
  <sortState xmlns:xlrd2="http://schemas.microsoft.com/office/spreadsheetml/2017/richdata2" ref="AF57:AG137">
    <sortCondition ref="AG57:AG137"/>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9284-55AE-4BE9-A4B4-A79655D7DFF6}">
  <sheetPr codeName="Sheet18">
    <tabColor theme="2"/>
  </sheetPr>
  <dimension ref="A1:AL789"/>
  <sheetViews>
    <sheetView showGridLines="0" topLeftCell="L2" zoomScale="50" zoomScaleNormal="50" workbookViewId="0">
      <selection activeCell="V43" sqref="V43"/>
    </sheetView>
  </sheetViews>
  <sheetFormatPr defaultColWidth="0" defaultRowHeight="14.25" zeroHeight="1"/>
  <cols>
    <col min="1" max="1" width="1.85546875" style="71" hidden="1" customWidth="1"/>
    <col min="2" max="2" width="5.28515625" style="71" customWidth="1"/>
    <col min="3" max="3" width="5" style="71" customWidth="1"/>
    <col min="4" max="4" width="19.42578125" style="71" customWidth="1"/>
    <col min="5" max="5" width="32.28515625" style="71" customWidth="1"/>
    <col min="6" max="6" width="38.7109375" style="71" customWidth="1"/>
    <col min="7" max="7" width="19.42578125" style="71" hidden="1" customWidth="1"/>
    <col min="8" max="9" width="47.7109375" style="71" customWidth="1"/>
    <col min="10" max="10" width="10.28515625" style="71" customWidth="1"/>
    <col min="11" max="11" width="56.85546875" style="71" customWidth="1"/>
    <col min="12" max="12" width="43.7109375" style="71" customWidth="1"/>
    <col min="13" max="13" width="43" style="71" customWidth="1"/>
    <col min="14" max="19" width="19.85546875" style="71" customWidth="1"/>
    <col min="20" max="21" width="24.140625" style="71" customWidth="1"/>
    <col min="22" max="22" width="50.7109375" style="71" customWidth="1"/>
    <col min="23" max="23" width="165" style="71" customWidth="1"/>
    <col min="24" max="24" width="19.7109375" style="71" customWidth="1"/>
    <col min="25" max="25" width="14" style="71" customWidth="1"/>
    <col min="26" max="38" width="0" style="71" hidden="1" customWidth="1"/>
    <col min="39" max="16384" width="14" style="71" hidden="1"/>
  </cols>
  <sheetData>
    <row r="1" spans="1:29" ht="14.1" hidden="1" customHeight="1">
      <c r="G1" s="166"/>
      <c r="H1" s="166"/>
      <c r="I1" s="166"/>
      <c r="J1" s="166"/>
      <c r="K1" s="166"/>
      <c r="L1" s="166"/>
      <c r="M1" s="166"/>
      <c r="N1" s="166"/>
      <c r="O1" s="166"/>
      <c r="P1" s="166"/>
      <c r="Q1" s="166"/>
      <c r="R1" s="166"/>
      <c r="S1" s="166"/>
      <c r="T1" s="166"/>
      <c r="U1" s="166"/>
      <c r="V1" s="166"/>
      <c r="W1" s="166"/>
      <c r="X1" s="166"/>
      <c r="Y1" s="166"/>
    </row>
    <row r="2" spans="1:29" ht="13.5" customHeight="1">
      <c r="A2" s="71" t="str">
        <f>Introduction!$E$14</f>
        <v>Føroyskt</v>
      </c>
      <c r="B2" s="167"/>
      <c r="C2" s="166"/>
      <c r="D2" s="166"/>
      <c r="E2" s="166"/>
      <c r="F2" s="166"/>
      <c r="G2" s="166"/>
      <c r="H2" s="166"/>
      <c r="I2" s="166"/>
      <c r="J2" s="166"/>
      <c r="K2" s="166"/>
      <c r="L2" s="166"/>
      <c r="M2" s="166"/>
      <c r="N2" s="166"/>
      <c r="O2" s="166"/>
      <c r="P2" s="166"/>
      <c r="Q2" s="166"/>
      <c r="R2" s="166"/>
      <c r="S2" s="166"/>
      <c r="T2" s="166"/>
      <c r="U2" s="166"/>
      <c r="V2" s="166"/>
      <c r="W2" s="166"/>
      <c r="X2" s="166"/>
      <c r="Y2" s="166"/>
    </row>
    <row r="3" spans="1:29" hidden="1">
      <c r="B3" s="166"/>
      <c r="C3" s="169"/>
      <c r="D3" s="170"/>
      <c r="E3" s="170"/>
      <c r="F3" s="170"/>
      <c r="G3" s="170"/>
      <c r="H3" s="170"/>
      <c r="I3" s="170"/>
      <c r="J3" s="170"/>
      <c r="K3" s="170"/>
      <c r="L3" s="170"/>
      <c r="M3" s="170"/>
      <c r="N3" s="170"/>
      <c r="O3" s="170"/>
      <c r="P3" s="170"/>
      <c r="Q3" s="170"/>
      <c r="R3" s="170"/>
      <c r="S3" s="170"/>
      <c r="T3" s="170"/>
      <c r="U3" s="170"/>
      <c r="V3" s="170"/>
      <c r="W3" s="170"/>
      <c r="X3" s="170"/>
      <c r="Y3" s="170"/>
      <c r="Z3" s="67"/>
      <c r="AA3" s="67"/>
      <c r="AB3" s="67"/>
      <c r="AC3" s="67"/>
    </row>
    <row r="4" spans="1:29" ht="5.0999999999999996" customHeight="1">
      <c r="A4" s="168" t="s">
        <v>0</v>
      </c>
      <c r="B4" s="172"/>
      <c r="C4" s="173"/>
      <c r="D4" s="456" t="str">
        <f>IF($A$2="English",_xlfn.XLOOKUP($A$4,Descriptions!$A:$A,Descriptions!$B:$B),_xlfn.XLOOKUP($A$4,Descriptions!$A:$A,Descriptions!$C:$C))</f>
        <v>Føroyskur CO2-roknari. Ár: 2023</v>
      </c>
      <c r="E4" s="456"/>
      <c r="F4" s="456"/>
      <c r="G4" s="456"/>
      <c r="H4" s="456"/>
      <c r="I4" s="456"/>
      <c r="J4" s="456"/>
      <c r="K4" s="456"/>
      <c r="L4" s="456"/>
      <c r="M4" s="456"/>
      <c r="N4" s="456"/>
      <c r="O4" s="456"/>
      <c r="P4" s="456"/>
      <c r="Q4" s="456"/>
      <c r="R4" s="456"/>
      <c r="S4" s="456"/>
      <c r="T4" s="456"/>
      <c r="U4" s="456"/>
      <c r="V4" s="456"/>
      <c r="W4" s="456"/>
      <c r="X4" s="456"/>
      <c r="Y4" s="390"/>
      <c r="Z4" s="67"/>
      <c r="AA4" s="67"/>
      <c r="AB4" s="67"/>
      <c r="AC4" s="67"/>
    </row>
    <row r="5" spans="1:29" ht="5.0999999999999996" customHeight="1">
      <c r="A5" s="71" t="s">
        <v>285</v>
      </c>
      <c r="B5" s="166"/>
      <c r="C5" s="173"/>
      <c r="D5" s="456"/>
      <c r="E5" s="456"/>
      <c r="F5" s="456"/>
      <c r="G5" s="456"/>
      <c r="H5" s="456"/>
      <c r="I5" s="456"/>
      <c r="J5" s="456"/>
      <c r="K5" s="456"/>
      <c r="L5" s="456"/>
      <c r="M5" s="456"/>
      <c r="N5" s="456"/>
      <c r="O5" s="456"/>
      <c r="P5" s="456"/>
      <c r="Q5" s="456"/>
      <c r="R5" s="456"/>
      <c r="S5" s="456"/>
      <c r="T5" s="456"/>
      <c r="U5" s="456"/>
      <c r="V5" s="456"/>
      <c r="W5" s="456"/>
      <c r="X5" s="456"/>
      <c r="Y5" s="390"/>
      <c r="Z5" s="67"/>
      <c r="AA5" s="67"/>
      <c r="AB5" s="67"/>
      <c r="AC5" s="67"/>
    </row>
    <row r="6" spans="1:29" ht="5.0999999999999996" customHeight="1">
      <c r="A6" s="71" t="s">
        <v>150</v>
      </c>
      <c r="B6" s="166"/>
      <c r="C6" s="173"/>
      <c r="D6" s="456"/>
      <c r="E6" s="456"/>
      <c r="F6" s="456"/>
      <c r="G6" s="456"/>
      <c r="H6" s="456"/>
      <c r="I6" s="456"/>
      <c r="J6" s="456"/>
      <c r="K6" s="456"/>
      <c r="L6" s="456"/>
      <c r="M6" s="456"/>
      <c r="N6" s="456"/>
      <c r="O6" s="456"/>
      <c r="P6" s="456"/>
      <c r="Q6" s="456"/>
      <c r="R6" s="456"/>
      <c r="S6" s="456"/>
      <c r="T6" s="456"/>
      <c r="U6" s="456"/>
      <c r="V6" s="456"/>
      <c r="W6" s="456"/>
      <c r="X6" s="456"/>
      <c r="Y6" s="390"/>
      <c r="Z6" s="67"/>
      <c r="AA6" s="67"/>
      <c r="AB6" s="67"/>
      <c r="AC6" s="67"/>
    </row>
    <row r="7" spans="1:29" ht="5.0999999999999996" customHeight="1">
      <c r="A7" s="71" t="s">
        <v>152</v>
      </c>
      <c r="B7" s="166"/>
      <c r="C7" s="173"/>
      <c r="D7" s="456"/>
      <c r="E7" s="456"/>
      <c r="F7" s="456"/>
      <c r="G7" s="456"/>
      <c r="H7" s="456"/>
      <c r="I7" s="456"/>
      <c r="J7" s="456"/>
      <c r="K7" s="456"/>
      <c r="L7" s="456"/>
      <c r="M7" s="456"/>
      <c r="N7" s="456"/>
      <c r="O7" s="456"/>
      <c r="P7" s="456"/>
      <c r="Q7" s="456"/>
      <c r="R7" s="456"/>
      <c r="S7" s="456"/>
      <c r="T7" s="456"/>
      <c r="U7" s="456"/>
      <c r="V7" s="456"/>
      <c r="W7" s="456"/>
      <c r="X7" s="456"/>
      <c r="Y7" s="390"/>
      <c r="Z7" s="67"/>
      <c r="AA7" s="67"/>
      <c r="AB7" s="67"/>
      <c r="AC7" s="67"/>
    </row>
    <row r="8" spans="1:29" ht="5.0999999999999996" customHeight="1">
      <c r="A8" s="71" t="s">
        <v>153</v>
      </c>
      <c r="B8" s="166"/>
      <c r="C8" s="173"/>
      <c r="D8" s="456"/>
      <c r="E8" s="456"/>
      <c r="F8" s="456"/>
      <c r="G8" s="456"/>
      <c r="H8" s="456"/>
      <c r="I8" s="456"/>
      <c r="J8" s="456"/>
      <c r="K8" s="456"/>
      <c r="L8" s="456"/>
      <c r="M8" s="456"/>
      <c r="N8" s="456"/>
      <c r="O8" s="456"/>
      <c r="P8" s="456"/>
      <c r="Q8" s="456"/>
      <c r="R8" s="456"/>
      <c r="S8" s="456"/>
      <c r="T8" s="456"/>
      <c r="U8" s="456"/>
      <c r="V8" s="456"/>
      <c r="W8" s="456"/>
      <c r="X8" s="456"/>
      <c r="Y8" s="390"/>
      <c r="Z8" s="67"/>
      <c r="AA8" s="67"/>
      <c r="AB8" s="67"/>
      <c r="AC8" s="67"/>
    </row>
    <row r="9" spans="1:29" ht="5.0999999999999996" customHeight="1">
      <c r="B9" s="166"/>
      <c r="C9" s="173"/>
      <c r="D9" s="456"/>
      <c r="E9" s="456"/>
      <c r="F9" s="456"/>
      <c r="G9" s="456"/>
      <c r="H9" s="456"/>
      <c r="I9" s="456"/>
      <c r="J9" s="456"/>
      <c r="K9" s="456"/>
      <c r="L9" s="456"/>
      <c r="M9" s="456"/>
      <c r="N9" s="456"/>
      <c r="O9" s="456"/>
      <c r="P9" s="456"/>
      <c r="Q9" s="456"/>
      <c r="R9" s="456"/>
      <c r="S9" s="456"/>
      <c r="T9" s="456"/>
      <c r="U9" s="456"/>
      <c r="V9" s="456"/>
      <c r="W9" s="456"/>
      <c r="X9" s="456"/>
      <c r="Y9" s="390"/>
      <c r="Z9" s="67"/>
      <c r="AA9" s="67"/>
      <c r="AB9" s="67"/>
      <c r="AC9" s="67"/>
    </row>
    <row r="10" spans="1:29" ht="5.0999999999999996" customHeight="1">
      <c r="A10" s="71" t="s">
        <v>154</v>
      </c>
      <c r="B10" s="166"/>
      <c r="C10" s="173"/>
      <c r="D10" s="456"/>
      <c r="E10" s="456"/>
      <c r="F10" s="456"/>
      <c r="G10" s="456"/>
      <c r="H10" s="456"/>
      <c r="I10" s="456"/>
      <c r="J10" s="456"/>
      <c r="K10" s="456"/>
      <c r="L10" s="456"/>
      <c r="M10" s="456"/>
      <c r="N10" s="456"/>
      <c r="O10" s="456"/>
      <c r="P10" s="456"/>
      <c r="Q10" s="456"/>
      <c r="R10" s="456"/>
      <c r="S10" s="456"/>
      <c r="T10" s="456"/>
      <c r="U10" s="456"/>
      <c r="V10" s="456"/>
      <c r="W10" s="456"/>
      <c r="X10" s="456"/>
      <c r="Y10" s="390"/>
      <c r="Z10" s="67"/>
      <c r="AA10" s="67"/>
      <c r="AB10" s="67"/>
      <c r="AC10" s="67"/>
    </row>
    <row r="11" spans="1:29" ht="5.0999999999999996" customHeight="1">
      <c r="A11" s="71" t="s">
        <v>156</v>
      </c>
      <c r="B11" s="166"/>
      <c r="C11" s="173"/>
      <c r="D11" s="456"/>
      <c r="E11" s="456"/>
      <c r="F11" s="456"/>
      <c r="G11" s="456"/>
      <c r="H11" s="456"/>
      <c r="I11" s="456"/>
      <c r="J11" s="456"/>
      <c r="K11" s="456"/>
      <c r="L11" s="456"/>
      <c r="M11" s="456"/>
      <c r="N11" s="456"/>
      <c r="O11" s="456"/>
      <c r="P11" s="456"/>
      <c r="Q11" s="456"/>
      <c r="R11" s="456"/>
      <c r="S11" s="456"/>
      <c r="T11" s="456"/>
      <c r="U11" s="456"/>
      <c r="V11" s="456"/>
      <c r="W11" s="456"/>
      <c r="X11" s="456"/>
      <c r="Y11" s="390"/>
      <c r="Z11" s="67"/>
      <c r="AA11" s="67"/>
      <c r="AB11" s="67"/>
      <c r="AC11" s="67"/>
    </row>
    <row r="12" spans="1:29" ht="120" customHeight="1">
      <c r="A12" s="71" t="s">
        <v>286</v>
      </c>
      <c r="B12" s="166"/>
      <c r="C12" s="173"/>
      <c r="D12" s="275" t="str">
        <f>IF($A$2="English",_xlfn.XLOOKUP($A$5,Descriptions!$A:$A,Descriptions!$B:$B),_xlfn.XLOOKUP($A$5,Descriptions!$A:$A,Descriptions!$C:$C))</f>
        <v>Útlátsfaktorar</v>
      </c>
      <c r="E12" s="275"/>
      <c r="F12" s="275"/>
      <c r="G12" s="273"/>
      <c r="H12" s="275"/>
      <c r="I12" s="275"/>
      <c r="J12" s="275"/>
      <c r="K12" s="275"/>
      <c r="L12" s="275"/>
      <c r="M12" s="275"/>
      <c r="N12" s="275"/>
      <c r="O12" s="275"/>
      <c r="P12" s="275"/>
      <c r="Q12" s="275"/>
      <c r="R12" s="275"/>
      <c r="S12" s="275"/>
      <c r="T12" s="275"/>
      <c r="U12" s="275"/>
      <c r="V12" s="275"/>
      <c r="W12" s="275"/>
      <c r="X12" s="411"/>
      <c r="Y12" s="394"/>
      <c r="Z12" s="67"/>
      <c r="AA12" s="67"/>
      <c r="AB12" s="67"/>
      <c r="AC12" s="67"/>
    </row>
    <row r="13" spans="1:29" ht="15.6" customHeight="1">
      <c r="A13" s="71" t="s">
        <v>161</v>
      </c>
      <c r="B13" s="166"/>
      <c r="C13" s="173"/>
      <c r="D13" s="67"/>
      <c r="E13" s="67"/>
      <c r="F13" s="67"/>
      <c r="G13" s="67"/>
      <c r="H13" s="67"/>
      <c r="I13" s="67"/>
      <c r="J13" s="67"/>
      <c r="K13" s="67"/>
      <c r="L13" s="67"/>
      <c r="M13" s="67"/>
      <c r="N13" s="67"/>
      <c r="O13" s="67"/>
      <c r="P13" s="67"/>
      <c r="Q13" s="67"/>
      <c r="R13" s="67"/>
      <c r="S13" s="67"/>
      <c r="T13" s="67"/>
      <c r="U13" s="67"/>
      <c r="V13" s="67"/>
      <c r="W13" s="67"/>
      <c r="X13" s="392"/>
      <c r="Y13" s="67"/>
      <c r="Z13" s="67"/>
      <c r="AA13" s="67"/>
      <c r="AB13" s="67"/>
      <c r="AC13" s="67"/>
    </row>
    <row r="14" spans="1:29" ht="40.35" customHeight="1">
      <c r="A14" s="71" t="s">
        <v>162</v>
      </c>
      <c r="B14" s="166"/>
      <c r="C14" s="173"/>
      <c r="D14" s="274" t="str">
        <f>IF($A$2="English",_xlfn.XLOOKUP($A$6,Descriptions!$A:$A,Descriptions!$B:$B),_xlfn.XLOOKUP($A$6,Descriptions!$A:$A,Descriptions!$C:$C))</f>
        <v>Vav 1 - Brennievni - brenning á føstum skipanum</v>
      </c>
      <c r="E14" s="274"/>
      <c r="F14" s="274"/>
      <c r="G14" s="274"/>
      <c r="H14" s="274"/>
      <c r="I14" s="274"/>
      <c r="J14" s="274"/>
      <c r="K14" s="274"/>
      <c r="L14" s="274"/>
      <c r="M14" s="274"/>
      <c r="N14" s="274"/>
      <c r="O14" s="274"/>
      <c r="P14" s="274"/>
      <c r="Q14" s="274"/>
      <c r="R14" s="274"/>
      <c r="S14" s="274"/>
      <c r="T14" s="274"/>
      <c r="U14" s="274"/>
      <c r="V14" s="274"/>
      <c r="W14" s="274"/>
      <c r="X14" s="274"/>
      <c r="Y14" s="274"/>
      <c r="Z14" s="67"/>
      <c r="AA14" s="67"/>
      <c r="AB14" s="67"/>
      <c r="AC14" s="67"/>
    </row>
    <row r="15" spans="1:29" ht="15.6" customHeight="1">
      <c r="B15" s="166"/>
      <c r="C15" s="173"/>
      <c r="D15" s="381" t="s">
        <v>1092</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row>
    <row r="16" spans="1:29" ht="15.6" customHeight="1">
      <c r="B16" s="166"/>
      <c r="C16" s="173"/>
      <c r="D16" s="67"/>
      <c r="E16" s="67"/>
      <c r="F16" s="67"/>
      <c r="G16" s="67"/>
      <c r="H16" s="67"/>
      <c r="I16" s="67"/>
      <c r="J16" s="67"/>
      <c r="K16" s="67"/>
      <c r="L16" s="67"/>
      <c r="M16" s="67"/>
      <c r="N16" s="84" t="s">
        <v>287</v>
      </c>
      <c r="O16" s="84" t="s">
        <v>288</v>
      </c>
      <c r="P16" s="84" t="s">
        <v>289</v>
      </c>
      <c r="Q16" s="84" t="s">
        <v>290</v>
      </c>
      <c r="R16" s="84" t="s">
        <v>290</v>
      </c>
      <c r="S16" s="84" t="s">
        <v>290</v>
      </c>
      <c r="T16" s="84" t="s">
        <v>291</v>
      </c>
      <c r="U16" s="67"/>
      <c r="V16" s="67"/>
      <c r="W16" s="67"/>
      <c r="X16" s="67"/>
      <c r="Y16" s="67"/>
      <c r="Z16" s="67"/>
      <c r="AA16" s="67"/>
      <c r="AB16" s="67"/>
      <c r="AC16" s="67"/>
    </row>
    <row r="17" spans="2:29" ht="14.45" customHeight="1">
      <c r="B17" s="166"/>
      <c r="C17" s="173"/>
      <c r="D17" s="154" t="s">
        <v>144</v>
      </c>
      <c r="E17" s="154" t="s">
        <v>145</v>
      </c>
      <c r="F17" s="154" t="s">
        <v>292</v>
      </c>
      <c r="G17" s="154" t="s">
        <v>293</v>
      </c>
      <c r="H17" s="154" t="s">
        <v>145</v>
      </c>
      <c r="I17" s="154" t="s">
        <v>294</v>
      </c>
      <c r="J17" s="154" t="s">
        <v>295</v>
      </c>
      <c r="K17" s="154" t="s">
        <v>230</v>
      </c>
      <c r="L17" s="154" t="s">
        <v>296</v>
      </c>
      <c r="M17" s="154" t="s">
        <v>185</v>
      </c>
      <c r="N17" s="154" t="s">
        <v>297</v>
      </c>
      <c r="O17" s="154" t="s">
        <v>298</v>
      </c>
      <c r="P17" s="154" t="s">
        <v>299</v>
      </c>
      <c r="Q17" s="154" t="s">
        <v>300</v>
      </c>
      <c r="R17" s="154" t="s">
        <v>301</v>
      </c>
      <c r="S17" s="154" t="s">
        <v>302</v>
      </c>
      <c r="T17" s="154" t="s">
        <v>303</v>
      </c>
      <c r="U17" s="154" t="s">
        <v>214</v>
      </c>
      <c r="V17" s="154" t="s">
        <v>304</v>
      </c>
      <c r="W17" s="154" t="s">
        <v>305</v>
      </c>
      <c r="X17" s="67"/>
      <c r="Y17" s="67"/>
      <c r="Z17" s="67"/>
      <c r="AA17" s="67"/>
      <c r="AB17" s="67"/>
      <c r="AC17" s="67"/>
    </row>
    <row r="18" spans="2:29" ht="14.45" customHeight="1">
      <c r="B18" s="166"/>
      <c r="C18" s="173"/>
      <c r="D18" s="212">
        <v>1</v>
      </c>
      <c r="E18" s="212" t="s">
        <v>306</v>
      </c>
      <c r="F18" s="212" t="str">
        <f t="shared" ref="F18:F65" si="0">D18&amp;" - "&amp;E18</f>
        <v>1 - Stationary Combustion</v>
      </c>
      <c r="G18" s="212" t="s">
        <v>307</v>
      </c>
      <c r="H18" s="213"/>
      <c r="I18" s="213"/>
      <c r="J18" s="212" t="s">
        <v>308</v>
      </c>
      <c r="K18" s="212" t="s">
        <v>191</v>
      </c>
      <c r="L18" s="214" t="s">
        <v>192</v>
      </c>
      <c r="M18" s="215" t="str">
        <f t="shared" ref="M18:M65" si="1">K18&amp;L18</f>
        <v>Gas/diesel oilDefault</v>
      </c>
      <c r="N18" s="216">
        <f t="shared" ref="N18:R20" si="2">AVERAGEIFS(N$29:N$39,$J$29:$J$39,"Yes",$K$29:$K$39,$K18)</f>
        <v>74.099999999999994</v>
      </c>
      <c r="O18" s="216">
        <f t="shared" si="2"/>
        <v>6.4000000000000016E-4</v>
      </c>
      <c r="P18" s="216">
        <f t="shared" si="2"/>
        <v>4.4000000000000002E-4</v>
      </c>
      <c r="Q18" s="216">
        <f t="shared" si="2"/>
        <v>1.6E-2</v>
      </c>
      <c r="R18" s="216">
        <f t="shared" si="2"/>
        <v>0.13111999999999999</v>
      </c>
      <c r="S18" s="217">
        <f>N18+(_xlfn.XLOOKUP($O$16,GWPs!$B:$B,GWPs!$E:$E)*O18)+(_xlfn.XLOOKUP($P$16,GWPs!$B:$B,GWPs!$E:$E)*P18)</f>
        <v>74.247119999999995</v>
      </c>
      <c r="T18" s="383">
        <f>N18+(_xlfn.XLOOKUP($O$16,GWPs!$B:$B,GWPs!$F:$F)*O18)+(_xlfn.XLOOKUP($P$16,GWPs!$B:$B,GWPs!$F:$F)*P18)</f>
        <v>74.234520000000003</v>
      </c>
      <c r="U18" s="212" t="s">
        <v>309</v>
      </c>
      <c r="V18" s="218"/>
      <c r="W18" s="218" t="s">
        <v>310</v>
      </c>
      <c r="X18" s="67"/>
      <c r="Y18" s="67"/>
      <c r="Z18" s="67"/>
      <c r="AA18" s="67"/>
      <c r="AB18" s="67"/>
      <c r="AC18" s="67"/>
    </row>
    <row r="19" spans="2:29" ht="14.45" customHeight="1">
      <c r="B19" s="166"/>
      <c r="C19" s="173"/>
      <c r="D19" s="212">
        <v>1</v>
      </c>
      <c r="E19" s="212" t="s">
        <v>306</v>
      </c>
      <c r="F19" s="212" t="str">
        <f t="shared" si="0"/>
        <v>1 - Stationary Combustion</v>
      </c>
      <c r="G19" s="212" t="s">
        <v>307</v>
      </c>
      <c r="H19" s="213"/>
      <c r="I19" s="213"/>
      <c r="J19" s="212" t="s">
        <v>308</v>
      </c>
      <c r="K19" s="212" t="s">
        <v>196</v>
      </c>
      <c r="L19" s="214" t="s">
        <v>192</v>
      </c>
      <c r="M19" s="215" t="str">
        <f t="shared" si="1"/>
        <v>Heavy fuel oilDefault</v>
      </c>
      <c r="N19" s="216">
        <f t="shared" si="2"/>
        <v>78.94</v>
      </c>
      <c r="O19" s="216">
        <f t="shared" si="2"/>
        <v>1.0499999999999999E-3</v>
      </c>
      <c r="P19" s="216">
        <f t="shared" si="2"/>
        <v>2.65E-3</v>
      </c>
      <c r="Q19" s="216">
        <f t="shared" si="2"/>
        <v>2.6250000000000002E-2</v>
      </c>
      <c r="R19" s="216">
        <f t="shared" si="2"/>
        <v>0.78969999999999996</v>
      </c>
      <c r="S19" s="217">
        <f>N19+(_xlfn.XLOOKUP($O$16,GWPs!$B:$B,GWPs!$E:$E)*O19)+(_xlfn.XLOOKUP($P$16,GWPs!$B:$B,GWPs!$E:$E)*P19)</f>
        <v>79.755949999999999</v>
      </c>
      <c r="T19" s="383">
        <f>N19+(_xlfn.XLOOKUP($O$16,GWPs!$B:$B,GWPs!$F:$F)*O19)+(_xlfn.XLOOKUP($P$16,GWPs!$B:$B,GWPs!$F:$F)*P19)</f>
        <v>79.67165</v>
      </c>
      <c r="U19" s="212" t="s">
        <v>309</v>
      </c>
      <c r="V19" s="218"/>
      <c r="W19" s="218" t="s">
        <v>310</v>
      </c>
      <c r="X19" s="67"/>
      <c r="Y19" s="67"/>
      <c r="Z19" s="67"/>
      <c r="AA19" s="67"/>
      <c r="AB19" s="67"/>
      <c r="AC19" s="67"/>
    </row>
    <row r="20" spans="2:29" ht="14.45" customHeight="1">
      <c r="B20" s="166"/>
      <c r="C20" s="173"/>
      <c r="D20" s="212">
        <v>1</v>
      </c>
      <c r="E20" s="212" t="s">
        <v>306</v>
      </c>
      <c r="F20" s="212" t="str">
        <f t="shared" si="0"/>
        <v>1 - Stationary Combustion</v>
      </c>
      <c r="G20" s="212" t="s">
        <v>307</v>
      </c>
      <c r="H20" s="213"/>
      <c r="I20" s="213"/>
      <c r="J20" s="212" t="s">
        <v>308</v>
      </c>
      <c r="K20" s="212" t="s">
        <v>311</v>
      </c>
      <c r="L20" s="214" t="s">
        <v>192</v>
      </c>
      <c r="M20" s="215" t="str">
        <f t="shared" si="1"/>
        <v>KeroseneDefault</v>
      </c>
      <c r="N20" s="216">
        <f t="shared" si="2"/>
        <v>71.900000000000006</v>
      </c>
      <c r="O20" s="216">
        <f t="shared" si="2"/>
        <v>8.2500000000000004E-3</v>
      </c>
      <c r="P20" s="216">
        <f t="shared" si="2"/>
        <v>5.9999999999999995E-4</v>
      </c>
      <c r="Q20" s="216">
        <f t="shared" si="2"/>
        <v>0.20624999999999999</v>
      </c>
      <c r="R20" s="216">
        <f t="shared" si="2"/>
        <v>0.17879999999999999</v>
      </c>
      <c r="S20" s="217">
        <f>N20+(_xlfn.XLOOKUP($O$16,GWPs!$B:$B,GWPs!$E:$E)*O20)+(_xlfn.XLOOKUP($P$16,GWPs!$B:$B,GWPs!$E:$E)*P20)</f>
        <v>72.285049999999998</v>
      </c>
      <c r="T20" s="383">
        <f>N20+(_xlfn.XLOOKUP($O$16,GWPs!$B:$B,GWPs!$F:$F)*O20)+(_xlfn.XLOOKUP($P$16,GWPs!$B:$B,GWPs!$F:$F)*P20)</f>
        <v>72.290000000000006</v>
      </c>
      <c r="U20" s="212" t="s">
        <v>309</v>
      </c>
      <c r="V20" s="218"/>
      <c r="W20" s="218" t="s">
        <v>310</v>
      </c>
      <c r="X20" s="67"/>
      <c r="Y20" s="67"/>
      <c r="Z20" s="67"/>
      <c r="AA20" s="67"/>
      <c r="AB20" s="67"/>
      <c r="AC20" s="67"/>
    </row>
    <row r="21" spans="2:29" ht="14.45" customHeight="1">
      <c r="B21" s="166"/>
      <c r="C21" s="173"/>
      <c r="D21" s="212">
        <v>1</v>
      </c>
      <c r="E21" s="212" t="s">
        <v>306</v>
      </c>
      <c r="F21" s="212" t="str">
        <f t="shared" si="0"/>
        <v>1 - Stationary Combustion</v>
      </c>
      <c r="G21" s="212" t="s">
        <v>307</v>
      </c>
      <c r="H21" s="213"/>
      <c r="I21" s="213"/>
      <c r="J21" s="212" t="s">
        <v>308</v>
      </c>
      <c r="K21" s="215" t="s">
        <v>312</v>
      </c>
      <c r="L21" s="214" t="s">
        <v>192</v>
      </c>
      <c r="M21" s="215" t="str">
        <f t="shared" si="1"/>
        <v>LPGDefault</v>
      </c>
      <c r="N21" s="216">
        <f t="shared" ref="N21:R23" si="3">AVERAGEIFS(N$40:N$54,$J$40:$J$54,"Yes",$K$40:$K$54,$K21)</f>
        <v>64.8</v>
      </c>
      <c r="O21" s="216">
        <f t="shared" si="3"/>
        <v>3.4000000000000002E-3</v>
      </c>
      <c r="P21" s="216">
        <f t="shared" si="3"/>
        <v>1E-4</v>
      </c>
      <c r="Q21" s="216">
        <f t="shared" si="3"/>
        <v>8.5000000000000006E-2</v>
      </c>
      <c r="R21" s="216">
        <f t="shared" si="3"/>
        <v>2.98E-2</v>
      </c>
      <c r="S21" s="217">
        <f>N21+(_xlfn.XLOOKUP($O$16,GWPs!$B:$B,GWPs!$E:$E)*O21)+(_xlfn.XLOOKUP($P$16,GWPs!$B:$B,GWPs!$E:$E)*P21)</f>
        <v>64.914799999999985</v>
      </c>
      <c r="T21" s="383">
        <f>N21+(_xlfn.XLOOKUP($O$16,GWPs!$B:$B,GWPs!$F:$F)*O21)+(_xlfn.XLOOKUP($P$16,GWPs!$B:$B,GWPs!$F:$F)*P21)</f>
        <v>64.921700000000001</v>
      </c>
      <c r="U21" s="212" t="s">
        <v>309</v>
      </c>
      <c r="V21" s="213"/>
      <c r="W21" s="218" t="s">
        <v>1269</v>
      </c>
      <c r="X21" s="67"/>
      <c r="Y21" s="67"/>
      <c r="Z21" s="67"/>
      <c r="AA21" s="67"/>
      <c r="AB21" s="67"/>
      <c r="AC21" s="67"/>
    </row>
    <row r="22" spans="2:29" ht="14.45" customHeight="1">
      <c r="B22" s="166"/>
      <c r="C22" s="173"/>
      <c r="D22" s="212">
        <v>1</v>
      </c>
      <c r="E22" s="212" t="s">
        <v>306</v>
      </c>
      <c r="F22" s="212" t="str">
        <f t="shared" si="0"/>
        <v>1 - Stationary Combustion</v>
      </c>
      <c r="G22" s="212" t="s">
        <v>307</v>
      </c>
      <c r="H22" s="213"/>
      <c r="I22" s="213"/>
      <c r="J22" s="212" t="s">
        <v>308</v>
      </c>
      <c r="K22" s="212" t="s">
        <v>313</v>
      </c>
      <c r="L22" s="214" t="s">
        <v>192</v>
      </c>
      <c r="M22" s="215" t="str">
        <f t="shared" si="1"/>
        <v>BiogasDefault</v>
      </c>
      <c r="N22" s="219">
        <f t="shared" si="3"/>
        <v>81.900000000000006</v>
      </c>
      <c r="O22" s="216">
        <f t="shared" si="3"/>
        <v>2.6000000000000003E-3</v>
      </c>
      <c r="P22" s="216">
        <f t="shared" si="3"/>
        <v>2.8000000000000003E-4</v>
      </c>
      <c r="Q22" s="216">
        <f t="shared" si="3"/>
        <v>6.5000000000000002E-2</v>
      </c>
      <c r="R22" s="216">
        <f t="shared" si="3"/>
        <v>8.3439999999999986E-2</v>
      </c>
      <c r="S22" s="217">
        <f>N22+(_xlfn.XLOOKUP($O$16,GWPs!$B:$B,GWPs!$E:$E)*O22)+(_xlfn.XLOOKUP($P$16,GWPs!$B:$B,GWPs!$E:$E)*P22)</f>
        <v>82.048439999999999</v>
      </c>
      <c r="T22" s="383">
        <f>N22+(_xlfn.XLOOKUP($O$16,GWPs!$B:$B,GWPs!$F:$F)*O22)+(_xlfn.XLOOKUP($P$16,GWPs!$B:$B,GWPs!$F:$F)*P22)</f>
        <v>82.047000000000011</v>
      </c>
      <c r="U22" s="212" t="s">
        <v>309</v>
      </c>
      <c r="V22" s="213"/>
      <c r="W22" s="218" t="s">
        <v>1269</v>
      </c>
      <c r="X22" s="139"/>
      <c r="Y22" s="67"/>
      <c r="Z22" s="67"/>
      <c r="AA22" s="67"/>
      <c r="AB22" s="67"/>
      <c r="AC22" s="67"/>
    </row>
    <row r="23" spans="2:29" ht="14.45" customHeight="1">
      <c r="B23" s="166"/>
      <c r="C23" s="173"/>
      <c r="D23" s="212">
        <v>1</v>
      </c>
      <c r="E23" s="212" t="s">
        <v>306</v>
      </c>
      <c r="F23" s="212" t="str">
        <f t="shared" si="0"/>
        <v>1 - Stationary Combustion</v>
      </c>
      <c r="G23" s="212" t="s">
        <v>307</v>
      </c>
      <c r="H23" s="213"/>
      <c r="I23" s="213"/>
      <c r="J23" s="212" t="s">
        <v>308</v>
      </c>
      <c r="K23" s="212" t="s">
        <v>314</v>
      </c>
      <c r="L23" s="214" t="s">
        <v>192</v>
      </c>
      <c r="M23" s="215" t="str">
        <f t="shared" si="1"/>
        <v>Wood PelletsDefault</v>
      </c>
      <c r="N23" s="219">
        <f t="shared" si="3"/>
        <v>97.4</v>
      </c>
      <c r="O23" s="216">
        <f t="shared" si="3"/>
        <v>3.0199999999999997E-3</v>
      </c>
      <c r="P23" s="216">
        <f t="shared" si="3"/>
        <v>3.3600000000000006E-3</v>
      </c>
      <c r="Q23" s="216">
        <f t="shared" si="3"/>
        <v>7.5499999999999998E-2</v>
      </c>
      <c r="R23" s="216">
        <f t="shared" si="3"/>
        <v>1.0012799999999999</v>
      </c>
      <c r="S23" s="217">
        <f>N23+(_xlfn.XLOOKUP($O$16,GWPs!$B:$B,GWPs!$E:$E)*O23)+(_xlfn.XLOOKUP($P$16,GWPs!$B:$B,GWPs!$E:$E)*P23)</f>
        <v>98.476780000000005</v>
      </c>
      <c r="T23" s="383">
        <f>N23+(_xlfn.XLOOKUP($O$16,GWPs!$B:$B,GWPs!$F:$F)*O23)+(_xlfn.XLOOKUP($P$16,GWPs!$B:$B,GWPs!$F:$F)*P23)</f>
        <v>98.374960000000002</v>
      </c>
      <c r="U23" s="212" t="s">
        <v>309</v>
      </c>
      <c r="V23" s="220"/>
      <c r="W23" s="218" t="s">
        <v>1269</v>
      </c>
      <c r="X23" s="67"/>
      <c r="Y23" s="67"/>
      <c r="Z23" s="67"/>
      <c r="AA23" s="67"/>
      <c r="AB23" s="67"/>
      <c r="AC23" s="67"/>
    </row>
    <row r="24" spans="2:29" ht="14.45" customHeight="1">
      <c r="B24" s="166"/>
      <c r="C24" s="173"/>
      <c r="D24" s="212">
        <v>1</v>
      </c>
      <c r="E24" s="212" t="s">
        <v>306</v>
      </c>
      <c r="F24" s="212" t="str">
        <f t="shared" si="0"/>
        <v>1 - Stationary Combustion</v>
      </c>
      <c r="G24" s="212" t="s">
        <v>307</v>
      </c>
      <c r="H24" s="213"/>
      <c r="I24" s="213"/>
      <c r="J24" s="212" t="s">
        <v>308</v>
      </c>
      <c r="K24" s="215" t="s">
        <v>315</v>
      </c>
      <c r="L24" s="214" t="s">
        <v>192</v>
      </c>
      <c r="M24" s="215" t="str">
        <f t="shared" si="1"/>
        <v>PropaneDefault</v>
      </c>
      <c r="N24" s="282"/>
      <c r="O24" s="282"/>
      <c r="P24" s="282"/>
      <c r="Q24" s="282"/>
      <c r="R24" s="282"/>
      <c r="S24" s="222">
        <v>0.21410999999999999</v>
      </c>
      <c r="T24" s="388">
        <v>0.21</v>
      </c>
      <c r="U24" s="221" t="s">
        <v>204</v>
      </c>
      <c r="V24" s="235" t="s">
        <v>359</v>
      </c>
      <c r="W24" s="212" t="s">
        <v>1093</v>
      </c>
      <c r="X24" s="67"/>
      <c r="Y24" s="67"/>
      <c r="Z24" s="67"/>
      <c r="AA24" s="67"/>
      <c r="AB24" s="67"/>
      <c r="AC24" s="67"/>
    </row>
    <row r="25" spans="2:29" ht="14.45" customHeight="1">
      <c r="B25" s="166"/>
      <c r="C25" s="173"/>
      <c r="D25" s="212">
        <v>1</v>
      </c>
      <c r="E25" s="212" t="s">
        <v>306</v>
      </c>
      <c r="F25" s="212" t="str">
        <f t="shared" si="0"/>
        <v>1 - Stationary Combustion</v>
      </c>
      <c r="G25" s="212" t="s">
        <v>307</v>
      </c>
      <c r="H25" s="213"/>
      <c r="I25" s="213"/>
      <c r="J25" s="212" t="s">
        <v>308</v>
      </c>
      <c r="K25" s="215" t="s">
        <v>316</v>
      </c>
      <c r="L25" s="214" t="s">
        <v>192</v>
      </c>
      <c r="M25" s="215" t="str">
        <f t="shared" si="1"/>
        <v>ButaneDefault</v>
      </c>
      <c r="N25" s="282"/>
      <c r="O25" s="282"/>
      <c r="P25" s="282"/>
      <c r="Q25" s="282"/>
      <c r="R25" s="282"/>
      <c r="S25" s="222">
        <v>0.22239999999999999</v>
      </c>
      <c r="T25" s="388">
        <v>0.22</v>
      </c>
      <c r="U25" s="221" t="s">
        <v>204</v>
      </c>
      <c r="V25" s="235" t="s">
        <v>359</v>
      </c>
      <c r="W25" s="212" t="s">
        <v>1094</v>
      </c>
      <c r="X25" s="67"/>
      <c r="Y25" s="67"/>
      <c r="Z25" s="67"/>
      <c r="AA25" s="67"/>
      <c r="AB25" s="67"/>
      <c r="AC25" s="67"/>
    </row>
    <row r="26" spans="2:29" ht="14.45" customHeight="1">
      <c r="B26" s="166"/>
      <c r="C26" s="173"/>
      <c r="D26" s="212">
        <v>1</v>
      </c>
      <c r="E26" s="212" t="s">
        <v>306</v>
      </c>
      <c r="F26" s="212" t="str">
        <f t="shared" si="0"/>
        <v>1 - Stationary Combustion</v>
      </c>
      <c r="G26" s="212" t="s">
        <v>307</v>
      </c>
      <c r="H26" s="213"/>
      <c r="I26" s="213"/>
      <c r="J26" s="212" t="s">
        <v>308</v>
      </c>
      <c r="K26" s="212" t="s">
        <v>317</v>
      </c>
      <c r="L26" s="214" t="s">
        <v>192</v>
      </c>
      <c r="M26" s="215" t="str">
        <f t="shared" si="1"/>
        <v>Waste OilsDefault</v>
      </c>
      <c r="N26" s="282"/>
      <c r="O26" s="282"/>
      <c r="P26" s="282"/>
      <c r="Q26" s="282"/>
      <c r="R26" s="282"/>
      <c r="S26" s="222">
        <v>0.25681999999999999</v>
      </c>
      <c r="T26" s="388">
        <v>0.26</v>
      </c>
      <c r="U26" s="221" t="s">
        <v>204</v>
      </c>
      <c r="V26" s="235" t="s">
        <v>359</v>
      </c>
      <c r="W26" s="212" t="s">
        <v>1095</v>
      </c>
      <c r="X26" s="67"/>
      <c r="Y26" s="67"/>
      <c r="Z26" s="67"/>
      <c r="AA26" s="67"/>
      <c r="AB26" s="67"/>
      <c r="AC26" s="67"/>
    </row>
    <row r="27" spans="2:29" ht="14.45" customHeight="1">
      <c r="B27" s="166"/>
      <c r="C27" s="173"/>
      <c r="D27" s="212">
        <v>1</v>
      </c>
      <c r="E27" s="212" t="s">
        <v>306</v>
      </c>
      <c r="F27" s="212" t="str">
        <f t="shared" si="0"/>
        <v>1 - Stationary Combustion</v>
      </c>
      <c r="G27" s="212" t="s">
        <v>307</v>
      </c>
      <c r="H27" s="213"/>
      <c r="I27" s="213"/>
      <c r="J27" s="212" t="s">
        <v>308</v>
      </c>
      <c r="K27" s="212" t="s">
        <v>318</v>
      </c>
      <c r="L27" s="214" t="s">
        <v>192</v>
      </c>
      <c r="M27" s="215" t="str">
        <f t="shared" si="1"/>
        <v>Wood logsDefault</v>
      </c>
      <c r="N27" s="282"/>
      <c r="O27" s="282"/>
      <c r="P27" s="282"/>
      <c r="Q27" s="282"/>
      <c r="R27" s="282"/>
      <c r="S27" s="222">
        <v>1.0529999999999999E-2</v>
      </c>
      <c r="T27" s="388">
        <v>1.074E-2</v>
      </c>
      <c r="U27" s="221" t="s">
        <v>204</v>
      </c>
      <c r="V27" s="213"/>
      <c r="W27" s="212" t="s">
        <v>1096</v>
      </c>
      <c r="X27" s="67"/>
      <c r="Y27" s="67"/>
      <c r="Z27" s="67"/>
      <c r="AA27" s="67"/>
      <c r="AB27" s="67"/>
      <c r="AC27" s="67"/>
    </row>
    <row r="28" spans="2:29" ht="14.45" customHeight="1">
      <c r="B28" s="166"/>
      <c r="C28" s="173"/>
      <c r="D28" s="212">
        <v>1</v>
      </c>
      <c r="E28" s="212" t="s">
        <v>306</v>
      </c>
      <c r="F28" s="212" t="str">
        <f t="shared" si="0"/>
        <v>1 - Stationary Combustion</v>
      </c>
      <c r="G28" s="212" t="s">
        <v>307</v>
      </c>
      <c r="H28" s="213"/>
      <c r="I28" s="213"/>
      <c r="J28" s="212" t="s">
        <v>308</v>
      </c>
      <c r="K28" s="212" t="s">
        <v>319</v>
      </c>
      <c r="L28" s="214" t="s">
        <v>192</v>
      </c>
      <c r="M28" s="215" t="str">
        <f t="shared" si="1"/>
        <v>Wood chipsDefault</v>
      </c>
      <c r="N28" s="282"/>
      <c r="O28" s="282"/>
      <c r="P28" s="282"/>
      <c r="Q28" s="282"/>
      <c r="R28" s="282"/>
      <c r="S28" s="222">
        <v>1.0529999999999999E-2</v>
      </c>
      <c r="T28" s="388">
        <v>1.074E-2</v>
      </c>
      <c r="U28" s="212" t="str">
        <f>U65</f>
        <v>kWh</v>
      </c>
      <c r="V28" s="213"/>
      <c r="W28" s="212" t="s">
        <v>1097</v>
      </c>
      <c r="X28" s="67"/>
      <c r="Y28" s="67"/>
      <c r="Z28" s="67"/>
      <c r="AA28" s="67"/>
      <c r="AB28" s="67"/>
      <c r="AC28" s="67"/>
    </row>
    <row r="29" spans="2:29" ht="14.45" customHeight="1">
      <c r="B29" s="166"/>
      <c r="C29" s="173"/>
      <c r="D29" s="212">
        <v>1</v>
      </c>
      <c r="E29" s="212" t="s">
        <v>306</v>
      </c>
      <c r="F29" s="212" t="str">
        <f t="shared" si="0"/>
        <v>1 - Stationary Combustion</v>
      </c>
      <c r="G29" s="212" t="s">
        <v>307</v>
      </c>
      <c r="H29" s="212" t="s">
        <v>320</v>
      </c>
      <c r="I29" s="212"/>
      <c r="J29" s="212" t="s">
        <v>308</v>
      </c>
      <c r="K29" s="212" t="s">
        <v>191</v>
      </c>
      <c r="L29" s="212" t="str">
        <f>IF(J29="Yes",H29)</f>
        <v>Public electricity and heat production</v>
      </c>
      <c r="M29" s="215" t="str">
        <f t="shared" si="1"/>
        <v>Gas/diesel oilPublic electricity and heat production</v>
      </c>
      <c r="N29" s="400">
        <v>74.099999999999994</v>
      </c>
      <c r="O29" s="401">
        <v>8.9999999999999998E-4</v>
      </c>
      <c r="P29" s="401">
        <v>4.0000000000000002E-4</v>
      </c>
      <c r="Q29" s="217">
        <f>O29*_xlfn.XLOOKUP('Emission Factors'!O$16,GWPs!$B:$B,GWPs!$E:$E)</f>
        <v>2.2499999999999999E-2</v>
      </c>
      <c r="R29" s="224">
        <f>P29*_xlfn.XLOOKUP('Emission Factors'!P$16,GWPs!$B:$B,GWPs!$E:$E)</f>
        <v>0.1192</v>
      </c>
      <c r="S29" s="217">
        <f>N29+(_xlfn.XLOOKUP($O$16,GWPs!$B:$B,GWPs!$E:$E)*O29)+(_xlfn.XLOOKUP($P$16,GWPs!$B:$B,GWPs!$E:$E)*P29)</f>
        <v>74.241699999999994</v>
      </c>
      <c r="T29" s="383">
        <f>N29+(_xlfn.XLOOKUP($O$16,GWPs!$B:$B,GWPs!$F:$F)*O29)+(_xlfn.XLOOKUP($P$16,GWPs!$B:$B,GWPs!$F:$F)*P29)</f>
        <v>74.231199999999987</v>
      </c>
      <c r="U29" s="218" t="s">
        <v>309</v>
      </c>
      <c r="V29" s="218"/>
      <c r="W29" s="218" t="s">
        <v>321</v>
      </c>
      <c r="X29" s="67"/>
      <c r="Y29" s="67"/>
      <c r="Z29" s="67"/>
      <c r="AA29" s="67"/>
      <c r="AB29" s="67"/>
      <c r="AC29" s="67"/>
    </row>
    <row r="30" spans="2:29" ht="14.45" customHeight="1">
      <c r="B30" s="166"/>
      <c r="C30" s="173"/>
      <c r="D30" s="212">
        <v>1</v>
      </c>
      <c r="E30" s="212" t="s">
        <v>306</v>
      </c>
      <c r="F30" s="212" t="str">
        <f t="shared" si="0"/>
        <v>1 - Stationary Combustion</v>
      </c>
      <c r="G30" s="212" t="s">
        <v>307</v>
      </c>
      <c r="H30" s="212" t="s">
        <v>320</v>
      </c>
      <c r="I30" s="212"/>
      <c r="J30" s="212" t="s">
        <v>308</v>
      </c>
      <c r="K30" s="212" t="s">
        <v>196</v>
      </c>
      <c r="L30" s="212" t="str">
        <f t="shared" ref="L30:L39" si="4">H30</f>
        <v>Public electricity and heat production</v>
      </c>
      <c r="M30" s="215" t="str">
        <f t="shared" si="1"/>
        <v>Heavy fuel oilPublic electricity and heat production</v>
      </c>
      <c r="N30" s="402">
        <v>78.94</v>
      </c>
      <c r="O30" s="401">
        <v>8.0000000000000004E-4</v>
      </c>
      <c r="P30" s="401">
        <v>2.9999999999999997E-4</v>
      </c>
      <c r="Q30" s="217">
        <f>O30*_xlfn.XLOOKUP('Emission Factors'!O$16,GWPs!$B:$B,GWPs!$E:$E)</f>
        <v>0.02</v>
      </c>
      <c r="R30" s="224">
        <f>P30*_xlfn.XLOOKUP('Emission Factors'!P$16,GWPs!$B:$B,GWPs!$E:$E)</f>
        <v>8.9399999999999993E-2</v>
      </c>
      <c r="S30" s="217">
        <f>N30+(_xlfn.XLOOKUP($O$16,GWPs!$B:$B,GWPs!$E:$E)*O30)+(_xlfn.XLOOKUP($P$16,GWPs!$B:$B,GWPs!$E:$E)*P30)</f>
        <v>79.049399999999991</v>
      </c>
      <c r="T30" s="383">
        <f>N30+(_xlfn.XLOOKUP($O$16,GWPs!$B:$B,GWPs!$F:$F)*O30)+(_xlfn.XLOOKUP($P$16,GWPs!$B:$B,GWPs!$F:$F)*P30)</f>
        <v>79.041899999999998</v>
      </c>
      <c r="U30" s="218" t="s">
        <v>309</v>
      </c>
      <c r="V30" s="218" t="s">
        <v>1088</v>
      </c>
      <c r="W30" s="218" t="s">
        <v>321</v>
      </c>
      <c r="X30" s="67"/>
      <c r="Y30" s="67"/>
      <c r="Z30" s="67"/>
      <c r="AA30" s="67"/>
      <c r="AB30" s="67"/>
      <c r="AC30" s="67"/>
    </row>
    <row r="31" spans="2:29" ht="14.45" customHeight="1">
      <c r="B31" s="166"/>
      <c r="C31" s="173"/>
      <c r="D31" s="212">
        <v>1</v>
      </c>
      <c r="E31" s="212" t="s">
        <v>306</v>
      </c>
      <c r="F31" s="212" t="str">
        <f t="shared" si="0"/>
        <v>1 - Stationary Combustion</v>
      </c>
      <c r="G31" s="212" t="s">
        <v>307</v>
      </c>
      <c r="H31" s="212" t="s">
        <v>322</v>
      </c>
      <c r="I31" s="212"/>
      <c r="J31" s="212" t="s">
        <v>308</v>
      </c>
      <c r="K31" s="212" t="s">
        <v>191</v>
      </c>
      <c r="L31" s="212" t="str">
        <f t="shared" si="4"/>
        <v>Manufacturing industries and construction</v>
      </c>
      <c r="M31" s="215" t="str">
        <f t="shared" si="1"/>
        <v>Gas/diesel oilManufacturing industries and construction</v>
      </c>
      <c r="N31" s="400">
        <v>74.099999999999994</v>
      </c>
      <c r="O31" s="401">
        <v>2.0000000000000001E-4</v>
      </c>
      <c r="P31" s="401">
        <v>4.0000000000000002E-4</v>
      </c>
      <c r="Q31" s="217">
        <f>O31*_xlfn.XLOOKUP('Emission Factors'!O$16,GWPs!$B:$B,GWPs!$E:$E)</f>
        <v>5.0000000000000001E-3</v>
      </c>
      <c r="R31" s="224">
        <f>P31*_xlfn.XLOOKUP('Emission Factors'!P$16,GWPs!$B:$B,GWPs!$E:$E)</f>
        <v>0.1192</v>
      </c>
      <c r="S31" s="217">
        <f>N31+(_xlfn.XLOOKUP($O$16,GWPs!$B:$B,GWPs!$E:$E)*O31)+(_xlfn.XLOOKUP($P$16,GWPs!$B:$B,GWPs!$E:$E)*P31)</f>
        <v>74.224199999999996</v>
      </c>
      <c r="T31" s="383">
        <f>N31+(_xlfn.XLOOKUP($O$16,GWPs!$B:$B,GWPs!$F:$F)*O31)+(_xlfn.XLOOKUP($P$16,GWPs!$B:$B,GWPs!$F:$F)*P31)</f>
        <v>74.21159999999999</v>
      </c>
      <c r="U31" s="218" t="s">
        <v>309</v>
      </c>
      <c r="V31" s="218"/>
      <c r="W31" s="218" t="s">
        <v>321</v>
      </c>
      <c r="X31" s="67"/>
      <c r="Y31" s="67"/>
      <c r="Z31" s="67"/>
      <c r="AA31" s="67"/>
      <c r="AB31" s="67"/>
      <c r="AC31" s="67"/>
    </row>
    <row r="32" spans="2:29" ht="14.45" customHeight="1">
      <c r="B32" s="166"/>
      <c r="C32" s="173"/>
      <c r="D32" s="212">
        <v>1</v>
      </c>
      <c r="E32" s="212" t="s">
        <v>306</v>
      </c>
      <c r="F32" s="212" t="str">
        <f t="shared" si="0"/>
        <v>1 - Stationary Combustion</v>
      </c>
      <c r="G32" s="212" t="s">
        <v>307</v>
      </c>
      <c r="H32" s="212" t="s">
        <v>322</v>
      </c>
      <c r="I32" s="212"/>
      <c r="J32" s="212" t="s">
        <v>308</v>
      </c>
      <c r="K32" s="212" t="s">
        <v>196</v>
      </c>
      <c r="L32" s="212" t="str">
        <f t="shared" si="4"/>
        <v>Manufacturing industries and construction</v>
      </c>
      <c r="M32" s="215" t="str">
        <f t="shared" si="1"/>
        <v>Heavy fuel oilManufacturing industries and construction</v>
      </c>
      <c r="N32" s="402">
        <v>78.94</v>
      </c>
      <c r="O32" s="401">
        <v>1.2999999999999999E-3</v>
      </c>
      <c r="P32" s="401">
        <v>5.0000000000000001E-3</v>
      </c>
      <c r="Q32" s="217">
        <f>O32*_xlfn.XLOOKUP('Emission Factors'!O$16,GWPs!$B:$B,GWPs!$E:$E)</f>
        <v>3.2500000000000001E-2</v>
      </c>
      <c r="R32" s="224">
        <f>P32*_xlfn.XLOOKUP('Emission Factors'!P$16,GWPs!$B:$B,GWPs!$E:$E)</f>
        <v>1.49</v>
      </c>
      <c r="S32" s="217">
        <f>N32+(_xlfn.XLOOKUP($O$16,GWPs!$B:$B,GWPs!$E:$E)*O32)+(_xlfn.XLOOKUP($P$16,GWPs!$B:$B,GWPs!$E:$E)*P32)</f>
        <v>80.462499999999991</v>
      </c>
      <c r="T32" s="383">
        <f>N32+(_xlfn.XLOOKUP($O$16,GWPs!$B:$B,GWPs!$F:$F)*O32)+(_xlfn.XLOOKUP($P$16,GWPs!$B:$B,GWPs!$F:$F)*P32)</f>
        <v>80.301400000000001</v>
      </c>
      <c r="U32" s="218" t="s">
        <v>309</v>
      </c>
      <c r="V32" s="218"/>
      <c r="W32" s="218" t="s">
        <v>321</v>
      </c>
      <c r="X32" s="67"/>
      <c r="Y32" s="67"/>
      <c r="Z32" s="67"/>
      <c r="AA32" s="67"/>
      <c r="AB32" s="67"/>
      <c r="AC32" s="67"/>
    </row>
    <row r="33" spans="2:29" ht="14.45" customHeight="1">
      <c r="B33" s="166"/>
      <c r="C33" s="173"/>
      <c r="D33" s="212">
        <v>1</v>
      </c>
      <c r="E33" s="212" t="s">
        <v>306</v>
      </c>
      <c r="F33" s="212" t="str">
        <f t="shared" si="0"/>
        <v>1 - Stationary Combustion</v>
      </c>
      <c r="G33" s="212" t="s">
        <v>307</v>
      </c>
      <c r="H33" s="212" t="s">
        <v>322</v>
      </c>
      <c r="I33" s="212"/>
      <c r="J33" s="212" t="s">
        <v>308</v>
      </c>
      <c r="K33" s="212" t="s">
        <v>311</v>
      </c>
      <c r="L33" s="212" t="str">
        <f t="shared" si="4"/>
        <v>Manufacturing industries and construction</v>
      </c>
      <c r="M33" s="215" t="str">
        <f t="shared" si="1"/>
        <v>KeroseneManufacturing industries and construction</v>
      </c>
      <c r="N33" s="400">
        <v>71.900000000000006</v>
      </c>
      <c r="O33" s="401">
        <v>3.0000000000000001E-3</v>
      </c>
      <c r="P33" s="401">
        <v>5.9999999999999995E-4</v>
      </c>
      <c r="Q33" s="217">
        <f>O33*_xlfn.XLOOKUP('Emission Factors'!O$16,GWPs!$B:$B,GWPs!$E:$E)</f>
        <v>7.4999999999999997E-2</v>
      </c>
      <c r="R33" s="224">
        <f>P33*_xlfn.XLOOKUP('Emission Factors'!P$16,GWPs!$B:$B,GWPs!$E:$E)</f>
        <v>0.17879999999999999</v>
      </c>
      <c r="S33" s="217">
        <f>N33+(_xlfn.XLOOKUP($O$16,GWPs!$B:$B,GWPs!$E:$E)*O33)+(_xlfn.XLOOKUP($P$16,GWPs!$B:$B,GWPs!$E:$E)*P33)</f>
        <v>72.153800000000004</v>
      </c>
      <c r="T33" s="383">
        <f>N33+(_xlfn.XLOOKUP($O$16,GWPs!$B:$B,GWPs!$F:$F)*O33)+(_xlfn.XLOOKUP($P$16,GWPs!$B:$B,GWPs!$F:$F)*P33)</f>
        <v>72.143000000000015</v>
      </c>
      <c r="U33" s="218" t="s">
        <v>309</v>
      </c>
      <c r="V33" s="218"/>
      <c r="W33" s="218" t="s">
        <v>321</v>
      </c>
      <c r="X33" s="67"/>
      <c r="Y33" s="67"/>
      <c r="Z33" s="67"/>
      <c r="AA33" s="67"/>
      <c r="AB33" s="67"/>
      <c r="AC33" s="67"/>
    </row>
    <row r="34" spans="2:29" ht="14.45" customHeight="1">
      <c r="B34" s="166"/>
      <c r="C34" s="173"/>
      <c r="D34" s="212">
        <v>1</v>
      </c>
      <c r="E34" s="212" t="s">
        <v>306</v>
      </c>
      <c r="F34" s="212" t="str">
        <f t="shared" si="0"/>
        <v>1 - Stationary Combustion</v>
      </c>
      <c r="G34" s="212" t="s">
        <v>307</v>
      </c>
      <c r="H34" s="212" t="s">
        <v>323</v>
      </c>
      <c r="I34" s="212"/>
      <c r="J34" s="212" t="s">
        <v>308</v>
      </c>
      <c r="K34" s="212" t="s">
        <v>191</v>
      </c>
      <c r="L34" s="212" t="str">
        <f t="shared" si="4"/>
        <v>Commercial/Institutional</v>
      </c>
      <c r="M34" s="215" t="str">
        <f t="shared" si="1"/>
        <v>Gas/diesel oilCommercial/Institutional</v>
      </c>
      <c r="N34" s="400">
        <v>74.099999999999994</v>
      </c>
      <c r="O34" s="401">
        <v>7.000000000000001E-4</v>
      </c>
      <c r="P34" s="401">
        <v>4.0000000000000002E-4</v>
      </c>
      <c r="Q34" s="217">
        <f>O34*_xlfn.XLOOKUP('Emission Factors'!O$16,GWPs!$B:$B,GWPs!$E:$E)</f>
        <v>1.7500000000000002E-2</v>
      </c>
      <c r="R34" s="224">
        <f>P34*_xlfn.XLOOKUP('Emission Factors'!P$16,GWPs!$B:$B,GWPs!$E:$E)</f>
        <v>0.1192</v>
      </c>
      <c r="S34" s="217">
        <f>N34+(_xlfn.XLOOKUP($O$16,GWPs!$B:$B,GWPs!$E:$E)*O34)+(_xlfn.XLOOKUP($P$16,GWPs!$B:$B,GWPs!$E:$E)*P34)</f>
        <v>74.236699999999999</v>
      </c>
      <c r="T34" s="383">
        <f>N34+(_xlfn.XLOOKUP($O$16,GWPs!$B:$B,GWPs!$F:$F)*O34)+(_xlfn.XLOOKUP($P$16,GWPs!$B:$B,GWPs!$F:$F)*P34)</f>
        <v>74.225599999999986</v>
      </c>
      <c r="U34" s="218" t="s">
        <v>309</v>
      </c>
      <c r="V34" s="398" t="s">
        <v>1089</v>
      </c>
      <c r="W34" s="218" t="s">
        <v>321</v>
      </c>
      <c r="X34" s="67"/>
      <c r="Y34" s="67"/>
      <c r="Z34" s="67"/>
      <c r="AA34" s="67"/>
      <c r="AB34" s="67"/>
      <c r="AC34" s="67"/>
    </row>
    <row r="35" spans="2:29" ht="14.45" customHeight="1">
      <c r="B35" s="166"/>
      <c r="C35" s="173"/>
      <c r="D35" s="212">
        <v>1</v>
      </c>
      <c r="E35" s="212" t="s">
        <v>306</v>
      </c>
      <c r="F35" s="212" t="str">
        <f t="shared" si="0"/>
        <v>1 - Stationary Combustion</v>
      </c>
      <c r="G35" s="212" t="s">
        <v>307</v>
      </c>
      <c r="H35" s="212" t="s">
        <v>323</v>
      </c>
      <c r="I35" s="212"/>
      <c r="J35" s="212" t="s">
        <v>308</v>
      </c>
      <c r="K35" s="212" t="s">
        <v>311</v>
      </c>
      <c r="L35" s="212" t="str">
        <f t="shared" si="4"/>
        <v>Commercial/Institutional</v>
      </c>
      <c r="M35" s="215" t="str">
        <f t="shared" si="1"/>
        <v>KeroseneCommercial/Institutional</v>
      </c>
      <c r="N35" s="400">
        <v>71.900000000000006</v>
      </c>
      <c r="O35" s="401">
        <v>0.01</v>
      </c>
      <c r="P35" s="401">
        <v>5.9999999999999995E-4</v>
      </c>
      <c r="Q35" s="217">
        <f>O35*_xlfn.XLOOKUP('Emission Factors'!O$16,GWPs!$B:$B,GWPs!$E:$E)</f>
        <v>0.25</v>
      </c>
      <c r="R35" s="224">
        <f>P35*_xlfn.XLOOKUP('Emission Factors'!P$16,GWPs!$B:$B,GWPs!$E:$E)</f>
        <v>0.17879999999999999</v>
      </c>
      <c r="S35" s="217">
        <f>N35+(_xlfn.XLOOKUP($O$16,GWPs!$B:$B,GWPs!$E:$E)*O35)+(_xlfn.XLOOKUP($P$16,GWPs!$B:$B,GWPs!$E:$E)*P35)</f>
        <v>72.328800000000001</v>
      </c>
      <c r="T35" s="383">
        <f>N35+(_xlfn.XLOOKUP($O$16,GWPs!$B:$B,GWPs!$F:$F)*O35)+(_xlfn.XLOOKUP($P$16,GWPs!$B:$B,GWPs!$F:$F)*P35)</f>
        <v>72.339000000000013</v>
      </c>
      <c r="U35" s="218" t="s">
        <v>309</v>
      </c>
      <c r="V35" s="399" t="s">
        <v>1090</v>
      </c>
      <c r="W35" s="218" t="s">
        <v>321</v>
      </c>
      <c r="X35" s="67"/>
      <c r="Y35" s="67"/>
      <c r="Z35" s="67"/>
      <c r="AA35" s="67"/>
      <c r="AB35" s="67"/>
      <c r="AC35" s="67"/>
    </row>
    <row r="36" spans="2:29" ht="14.45" customHeight="1">
      <c r="B36" s="166"/>
      <c r="C36" s="173"/>
      <c r="D36" s="212">
        <v>1</v>
      </c>
      <c r="E36" s="212" t="s">
        <v>306</v>
      </c>
      <c r="F36" s="212" t="str">
        <f t="shared" si="0"/>
        <v>1 - Stationary Combustion</v>
      </c>
      <c r="G36" s="212" t="s">
        <v>307</v>
      </c>
      <c r="H36" s="212" t="s">
        <v>324</v>
      </c>
      <c r="I36" s="212"/>
      <c r="J36" s="212" t="s">
        <v>308</v>
      </c>
      <c r="K36" s="212" t="s">
        <v>191</v>
      </c>
      <c r="L36" s="212" t="str">
        <f t="shared" si="4"/>
        <v>Residential</v>
      </c>
      <c r="M36" s="215" t="str">
        <f t="shared" si="1"/>
        <v>Gas/diesel oilResidential</v>
      </c>
      <c r="N36" s="400">
        <v>74.099999999999994</v>
      </c>
      <c r="O36" s="401">
        <v>7.000000000000001E-4</v>
      </c>
      <c r="P36" s="401">
        <v>5.9999999999999995E-4</v>
      </c>
      <c r="Q36" s="217">
        <f>O36*_xlfn.XLOOKUP('Emission Factors'!O$16,GWPs!$B:$B,GWPs!$E:$E)</f>
        <v>1.7500000000000002E-2</v>
      </c>
      <c r="R36" s="224">
        <f>P36*_xlfn.XLOOKUP('Emission Factors'!P$16,GWPs!$B:$B,GWPs!$E:$E)</f>
        <v>0.17879999999999999</v>
      </c>
      <c r="S36" s="217">
        <f>N36+(_xlfn.XLOOKUP($O$16,GWPs!$B:$B,GWPs!$E:$E)*O36)+(_xlfn.XLOOKUP($P$16,GWPs!$B:$B,GWPs!$E:$E)*P36)</f>
        <v>74.296299999999988</v>
      </c>
      <c r="T36" s="383">
        <f>N36+(_xlfn.XLOOKUP($O$16,GWPs!$B:$B,GWPs!$F:$F)*O36)+(_xlfn.XLOOKUP($P$16,GWPs!$B:$B,GWPs!$F:$F)*P36)</f>
        <v>74.278599999999997</v>
      </c>
      <c r="U36" s="218" t="s">
        <v>309</v>
      </c>
      <c r="V36" s="223" t="s">
        <v>1091</v>
      </c>
      <c r="W36" s="218" t="s">
        <v>321</v>
      </c>
      <c r="X36" s="67"/>
      <c r="Y36" s="67"/>
      <c r="Z36" s="67"/>
      <c r="AA36" s="67"/>
      <c r="AB36" s="67"/>
      <c r="AC36" s="67"/>
    </row>
    <row r="37" spans="2:29" ht="14.45" customHeight="1">
      <c r="B37" s="166"/>
      <c r="C37" s="173"/>
      <c r="D37" s="212">
        <v>1</v>
      </c>
      <c r="E37" s="212" t="s">
        <v>306</v>
      </c>
      <c r="F37" s="212" t="str">
        <f t="shared" si="0"/>
        <v>1 - Stationary Combustion</v>
      </c>
      <c r="G37" s="212" t="s">
        <v>307</v>
      </c>
      <c r="H37" s="212" t="s">
        <v>324</v>
      </c>
      <c r="I37" s="212"/>
      <c r="J37" s="212" t="s">
        <v>308</v>
      </c>
      <c r="K37" s="212" t="s">
        <v>311</v>
      </c>
      <c r="L37" s="212" t="str">
        <f t="shared" si="4"/>
        <v>Residential</v>
      </c>
      <c r="M37" s="215" t="str">
        <f t="shared" si="1"/>
        <v>KeroseneResidential</v>
      </c>
      <c r="N37" s="400">
        <v>71.900000000000006</v>
      </c>
      <c r="O37" s="401">
        <v>0.01</v>
      </c>
      <c r="P37" s="401">
        <v>5.9999999999999995E-4</v>
      </c>
      <c r="Q37" s="217">
        <f>O37*_xlfn.XLOOKUP('Emission Factors'!O$16,GWPs!$B:$B,GWPs!$E:$E)</f>
        <v>0.25</v>
      </c>
      <c r="R37" s="224">
        <f>P37*_xlfn.XLOOKUP('Emission Factors'!P$16,GWPs!$B:$B,GWPs!$E:$E)</f>
        <v>0.17879999999999999</v>
      </c>
      <c r="S37" s="217">
        <f>N37+(_xlfn.XLOOKUP($O$16,GWPs!$B:$B,GWPs!$E:$E)*O37)+(_xlfn.XLOOKUP($P$16,GWPs!$B:$B,GWPs!$E:$E)*P37)</f>
        <v>72.328800000000001</v>
      </c>
      <c r="T37" s="383">
        <f>N37+(_xlfn.XLOOKUP($O$16,GWPs!$B:$B,GWPs!$F:$F)*O37)+(_xlfn.XLOOKUP($P$16,GWPs!$B:$B,GWPs!$F:$F)*P37)</f>
        <v>72.339000000000013</v>
      </c>
      <c r="U37" s="218" t="s">
        <v>309</v>
      </c>
      <c r="V37" s="218"/>
      <c r="W37" s="218" t="s">
        <v>321</v>
      </c>
      <c r="X37" s="67"/>
      <c r="Y37" s="67"/>
      <c r="Z37" s="67"/>
      <c r="AA37" s="67"/>
      <c r="AB37" s="67"/>
      <c r="AC37" s="67"/>
    </row>
    <row r="38" spans="2:29" ht="14.45" customHeight="1">
      <c r="B38" s="166"/>
      <c r="C38" s="173"/>
      <c r="D38" s="212">
        <v>1</v>
      </c>
      <c r="E38" s="212" t="s">
        <v>306</v>
      </c>
      <c r="F38" s="212" t="str">
        <f t="shared" si="0"/>
        <v>1 - Stationary Combustion</v>
      </c>
      <c r="G38" s="212" t="s">
        <v>307</v>
      </c>
      <c r="H38" s="212" t="s">
        <v>325</v>
      </c>
      <c r="I38" s="212"/>
      <c r="J38" s="212" t="s">
        <v>308</v>
      </c>
      <c r="K38" s="212" t="s">
        <v>191</v>
      </c>
      <c r="L38" s="212" t="str">
        <f t="shared" si="4"/>
        <v>Agriculture</v>
      </c>
      <c r="M38" s="215" t="str">
        <f t="shared" si="1"/>
        <v>Gas/diesel oilAgriculture</v>
      </c>
      <c r="N38" s="400">
        <v>74.099999999999994</v>
      </c>
      <c r="O38" s="401">
        <v>6.9999999999999999E-4</v>
      </c>
      <c r="P38" s="401">
        <v>4.0000000000000002E-4</v>
      </c>
      <c r="Q38" s="217">
        <f>O38*_xlfn.XLOOKUP('Emission Factors'!O$16,GWPs!$B:$B,GWPs!$E:$E)</f>
        <v>1.7499999999999998E-2</v>
      </c>
      <c r="R38" s="224">
        <f>P38*_xlfn.XLOOKUP('Emission Factors'!P$16,GWPs!$B:$B,GWPs!$E:$E)</f>
        <v>0.1192</v>
      </c>
      <c r="S38" s="217">
        <f>N38+(_xlfn.XLOOKUP($O$16,GWPs!$B:$B,GWPs!$E:$E)*O38)+(_xlfn.XLOOKUP($P$16,GWPs!$B:$B,GWPs!$E:$E)*P38)</f>
        <v>74.236699999999999</v>
      </c>
      <c r="T38" s="383">
        <f>N38+(_xlfn.XLOOKUP($O$16,GWPs!$B:$B,GWPs!$F:$F)*O38)+(_xlfn.XLOOKUP($P$16,GWPs!$B:$B,GWPs!$F:$F)*P38)</f>
        <v>74.225599999999986</v>
      </c>
      <c r="U38" s="218" t="s">
        <v>309</v>
      </c>
      <c r="V38" s="218"/>
      <c r="W38" s="218" t="s">
        <v>321</v>
      </c>
      <c r="X38" s="67"/>
      <c r="Y38" s="67"/>
      <c r="Z38" s="67"/>
      <c r="AA38" s="67"/>
      <c r="AB38" s="67"/>
      <c r="AC38" s="67"/>
    </row>
    <row r="39" spans="2:29" ht="14.45" customHeight="1">
      <c r="B39" s="166"/>
      <c r="C39" s="173"/>
      <c r="D39" s="212">
        <v>1</v>
      </c>
      <c r="E39" s="212" t="s">
        <v>306</v>
      </c>
      <c r="F39" s="212" t="str">
        <f t="shared" si="0"/>
        <v>1 - Stationary Combustion</v>
      </c>
      <c r="G39" s="212" t="s">
        <v>307</v>
      </c>
      <c r="H39" s="212" t="s">
        <v>325</v>
      </c>
      <c r="I39" s="212"/>
      <c r="J39" s="212" t="s">
        <v>308</v>
      </c>
      <c r="K39" s="212" t="s">
        <v>311</v>
      </c>
      <c r="L39" s="212" t="str">
        <f t="shared" si="4"/>
        <v>Agriculture</v>
      </c>
      <c r="M39" s="215" t="str">
        <f t="shared" si="1"/>
        <v>KeroseneAgriculture</v>
      </c>
      <c r="N39" s="400">
        <v>71.900000000000006</v>
      </c>
      <c r="O39" s="401">
        <v>0.01</v>
      </c>
      <c r="P39" s="401">
        <v>5.9999999999999995E-4</v>
      </c>
      <c r="Q39" s="217">
        <f>O39*_xlfn.XLOOKUP('Emission Factors'!O$16,GWPs!$B:$B,GWPs!$E:$E)</f>
        <v>0.25</v>
      </c>
      <c r="R39" s="224">
        <f>P39*_xlfn.XLOOKUP('Emission Factors'!P$16,GWPs!$B:$B,GWPs!$E:$E)</f>
        <v>0.17879999999999999</v>
      </c>
      <c r="S39" s="217">
        <f>N39+(_xlfn.XLOOKUP($O$16,GWPs!$B:$B,GWPs!$E:$E)*O39)+(_xlfn.XLOOKUP($P$16,GWPs!$B:$B,GWPs!$E:$E)*P39)</f>
        <v>72.328800000000001</v>
      </c>
      <c r="T39" s="383">
        <f>N39+(_xlfn.XLOOKUP($O$16,GWPs!$B:$B,GWPs!$F:$F)*O39)+(_xlfn.XLOOKUP($P$16,GWPs!$B:$B,GWPs!$F:$F)*P39)</f>
        <v>72.339000000000013</v>
      </c>
      <c r="U39" s="218" t="s">
        <v>309</v>
      </c>
      <c r="V39" s="218"/>
      <c r="W39" s="218" t="s">
        <v>321</v>
      </c>
      <c r="X39" s="67"/>
      <c r="Y39" s="67"/>
      <c r="Z39" s="67"/>
      <c r="AA39" s="67"/>
      <c r="AB39" s="67"/>
      <c r="AC39" s="67"/>
    </row>
    <row r="40" spans="2:29" ht="14.45" customHeight="1">
      <c r="B40" s="166"/>
      <c r="C40" s="173"/>
      <c r="D40" s="212">
        <v>1</v>
      </c>
      <c r="E40" s="212" t="s">
        <v>306</v>
      </c>
      <c r="F40" s="212" t="str">
        <f t="shared" si="0"/>
        <v>1 - Stationary Combustion</v>
      </c>
      <c r="G40" s="212" t="s">
        <v>307</v>
      </c>
      <c r="H40" s="215" t="s">
        <v>326</v>
      </c>
      <c r="I40" s="215" t="s">
        <v>327</v>
      </c>
      <c r="J40" s="215" t="s">
        <v>308</v>
      </c>
      <c r="K40" s="215" t="s">
        <v>312</v>
      </c>
      <c r="L40" s="212" t="s">
        <v>320</v>
      </c>
      <c r="M40" s="215" t="str">
        <f t="shared" si="1"/>
        <v>LPGPublic electricity and heat production</v>
      </c>
      <c r="N40" s="400">
        <v>64.8</v>
      </c>
      <c r="O40" s="401">
        <v>1E-3</v>
      </c>
      <c r="P40" s="401">
        <v>1E-4</v>
      </c>
      <c r="Q40" s="217">
        <f>O40*_xlfn.XLOOKUP('Emission Factors'!O$16,GWPs!$B:$B,GWPs!$E:$E)</f>
        <v>2.5000000000000001E-2</v>
      </c>
      <c r="R40" s="224">
        <f>P40*_xlfn.XLOOKUP('Emission Factors'!P$16,GWPs!$B:$B,GWPs!$E:$E)</f>
        <v>2.98E-2</v>
      </c>
      <c r="S40" s="217">
        <f>N40+(_xlfn.XLOOKUP($O$16,GWPs!$B:$B,GWPs!$E:$E)*O40)+(_xlfn.XLOOKUP($P$16,GWPs!$B:$B,GWPs!$E:$E)*P40)</f>
        <v>64.854799999999997</v>
      </c>
      <c r="T40" s="383">
        <f>N40+(_xlfn.XLOOKUP($O$16,GWPs!$B:$B,GWPs!$F:$F)*O40)+(_xlfn.XLOOKUP($P$16,GWPs!$B:$B,GWPs!$F:$F)*P40)</f>
        <v>64.854500000000002</v>
      </c>
      <c r="U40" s="218" t="s">
        <v>309</v>
      </c>
      <c r="V40" s="218"/>
      <c r="W40" s="218" t="s">
        <v>1269</v>
      </c>
      <c r="X40" s="67"/>
      <c r="Y40" s="67"/>
      <c r="Z40" s="67"/>
      <c r="AA40" s="67"/>
      <c r="AB40" s="67"/>
      <c r="AC40" s="67"/>
    </row>
    <row r="41" spans="2:29" ht="14.45" customHeight="1">
      <c r="B41" s="166"/>
      <c r="C41" s="173"/>
      <c r="D41" s="212">
        <v>1</v>
      </c>
      <c r="E41" s="212" t="s">
        <v>306</v>
      </c>
      <c r="F41" s="212" t="str">
        <f t="shared" si="0"/>
        <v>1 - Stationary Combustion</v>
      </c>
      <c r="G41" s="212" t="s">
        <v>307</v>
      </c>
      <c r="H41" s="215" t="s">
        <v>328</v>
      </c>
      <c r="I41" s="215" t="s">
        <v>329</v>
      </c>
      <c r="J41" s="215" t="s">
        <v>308</v>
      </c>
      <c r="K41" s="215" t="s">
        <v>312</v>
      </c>
      <c r="L41" s="215" t="s">
        <v>323</v>
      </c>
      <c r="M41" s="215" t="str">
        <f t="shared" si="1"/>
        <v>LPGCommercial/Institutional</v>
      </c>
      <c r="N41" s="400">
        <v>64.8</v>
      </c>
      <c r="O41" s="401">
        <v>5.0000000000000001E-3</v>
      </c>
      <c r="P41" s="401">
        <v>1E-4</v>
      </c>
      <c r="Q41" s="217">
        <f>O41*_xlfn.XLOOKUP('Emission Factors'!O$16,GWPs!$B:$B,GWPs!$E:$E)</f>
        <v>0.125</v>
      </c>
      <c r="R41" s="224">
        <f>P41*_xlfn.XLOOKUP('Emission Factors'!P$16,GWPs!$B:$B,GWPs!$E:$E)</f>
        <v>2.98E-2</v>
      </c>
      <c r="S41" s="217">
        <f>N41+(_xlfn.XLOOKUP($O$16,GWPs!$B:$B,GWPs!$E:$E)*O41)+(_xlfn.XLOOKUP($P$16,GWPs!$B:$B,GWPs!$E:$E)*P41)</f>
        <v>64.954799999999992</v>
      </c>
      <c r="T41" s="383">
        <f>N41+(_xlfn.XLOOKUP($O$16,GWPs!$B:$B,GWPs!$F:$F)*O41)+(_xlfn.XLOOKUP($P$16,GWPs!$B:$B,GWPs!$F:$F)*P41)</f>
        <v>64.966499999999996</v>
      </c>
      <c r="U41" s="218" t="s">
        <v>309</v>
      </c>
      <c r="V41" s="218"/>
      <c r="W41" s="218" t="s">
        <v>1269</v>
      </c>
      <c r="X41" s="67"/>
      <c r="Y41" s="67"/>
      <c r="Z41" s="67"/>
      <c r="AA41" s="67"/>
      <c r="AB41" s="67"/>
      <c r="AC41" s="67"/>
    </row>
    <row r="42" spans="2:29" ht="14.45" customHeight="1">
      <c r="B42" s="166"/>
      <c r="C42" s="173"/>
      <c r="D42" s="212">
        <v>1</v>
      </c>
      <c r="E42" s="212" t="s">
        <v>306</v>
      </c>
      <c r="F42" s="212" t="str">
        <f t="shared" si="0"/>
        <v>1 - Stationary Combustion</v>
      </c>
      <c r="G42" s="212" t="s">
        <v>307</v>
      </c>
      <c r="H42" s="215" t="s">
        <v>330</v>
      </c>
      <c r="I42" s="215" t="s">
        <v>330</v>
      </c>
      <c r="J42" s="215" t="s">
        <v>308</v>
      </c>
      <c r="K42" s="215" t="s">
        <v>312</v>
      </c>
      <c r="L42" s="215" t="s">
        <v>324</v>
      </c>
      <c r="M42" s="215" t="str">
        <f t="shared" si="1"/>
        <v>LPGResidential</v>
      </c>
      <c r="N42" s="400">
        <v>64.8</v>
      </c>
      <c r="O42" s="401">
        <v>5.0000000000000001E-3</v>
      </c>
      <c r="P42" s="401">
        <v>1E-4</v>
      </c>
      <c r="Q42" s="217">
        <f>O42*_xlfn.XLOOKUP('Emission Factors'!O$16,GWPs!$B:$B,GWPs!$E:$E)</f>
        <v>0.125</v>
      </c>
      <c r="R42" s="224">
        <f>P42*_xlfn.XLOOKUP('Emission Factors'!P$16,GWPs!$B:$B,GWPs!$E:$E)</f>
        <v>2.98E-2</v>
      </c>
      <c r="S42" s="217">
        <f>N42+(_xlfn.XLOOKUP($O$16,GWPs!$B:$B,GWPs!$E:$E)*O42)+(_xlfn.XLOOKUP($P$16,GWPs!$B:$B,GWPs!$E:$E)*P42)</f>
        <v>64.954799999999992</v>
      </c>
      <c r="T42" s="383">
        <f>N42+(_xlfn.XLOOKUP($O$16,GWPs!$B:$B,GWPs!$F:$F)*O42)+(_xlfn.XLOOKUP($P$16,GWPs!$B:$B,GWPs!$F:$F)*P42)</f>
        <v>64.966499999999996</v>
      </c>
      <c r="U42" s="218" t="s">
        <v>309</v>
      </c>
      <c r="V42" s="218"/>
      <c r="W42" s="218" t="s">
        <v>1269</v>
      </c>
      <c r="X42" s="67"/>
      <c r="Y42" s="67"/>
      <c r="Z42" s="67"/>
      <c r="AA42" s="67"/>
      <c r="AB42" s="67"/>
      <c r="AC42" s="67"/>
    </row>
    <row r="43" spans="2:29" ht="14.45" customHeight="1">
      <c r="B43" s="166"/>
      <c r="C43" s="173"/>
      <c r="D43" s="212">
        <v>1</v>
      </c>
      <c r="E43" s="212" t="s">
        <v>306</v>
      </c>
      <c r="F43" s="212" t="str">
        <f t="shared" si="0"/>
        <v>1 - Stationary Combustion</v>
      </c>
      <c r="G43" s="212" t="s">
        <v>307</v>
      </c>
      <c r="H43" s="215" t="s">
        <v>331</v>
      </c>
      <c r="I43" s="215" t="s">
        <v>332</v>
      </c>
      <c r="J43" s="215" t="s">
        <v>308</v>
      </c>
      <c r="K43" s="215" t="s">
        <v>312</v>
      </c>
      <c r="L43" s="215" t="s">
        <v>325</v>
      </c>
      <c r="M43" s="215" t="str">
        <f t="shared" si="1"/>
        <v>LPGAgriculture</v>
      </c>
      <c r="N43" s="400">
        <v>64.8</v>
      </c>
      <c r="O43" s="401">
        <v>5.0000000000000001E-3</v>
      </c>
      <c r="P43" s="401">
        <v>1E-4</v>
      </c>
      <c r="Q43" s="217">
        <f>O43*_xlfn.XLOOKUP('Emission Factors'!O$16,GWPs!$B:$B,GWPs!$E:$E)</f>
        <v>0.125</v>
      </c>
      <c r="R43" s="224">
        <f>P43*_xlfn.XLOOKUP('Emission Factors'!P$16,GWPs!$B:$B,GWPs!$E:$E)</f>
        <v>2.98E-2</v>
      </c>
      <c r="S43" s="217">
        <f>N43+(_xlfn.XLOOKUP($O$16,GWPs!$B:$B,GWPs!$E:$E)*O43)+(_xlfn.XLOOKUP($P$16,GWPs!$B:$B,GWPs!$E:$E)*P43)</f>
        <v>64.954799999999992</v>
      </c>
      <c r="T43" s="383">
        <f>N43+(_xlfn.XLOOKUP($O$16,GWPs!$B:$B,GWPs!$F:$F)*O43)+(_xlfn.XLOOKUP($P$16,GWPs!$B:$B,GWPs!$F:$F)*P43)</f>
        <v>64.966499999999996</v>
      </c>
      <c r="U43" s="218" t="s">
        <v>309</v>
      </c>
      <c r="V43" s="218"/>
      <c r="W43" s="218" t="s">
        <v>1269</v>
      </c>
      <c r="X43" s="67"/>
      <c r="Y43" s="67"/>
      <c r="Z43" s="67"/>
      <c r="AA43" s="67"/>
      <c r="AB43" s="67"/>
      <c r="AC43" s="67"/>
    </row>
    <row r="44" spans="2:29" ht="14.45" customHeight="1">
      <c r="B44" s="166"/>
      <c r="C44" s="173"/>
      <c r="D44" s="212">
        <v>1</v>
      </c>
      <c r="E44" s="212" t="s">
        <v>306</v>
      </c>
      <c r="F44" s="212" t="str">
        <f t="shared" si="0"/>
        <v>1 - Stationary Combustion</v>
      </c>
      <c r="G44" s="212" t="s">
        <v>307</v>
      </c>
      <c r="H44" s="215" t="s">
        <v>333</v>
      </c>
      <c r="I44" s="215" t="s">
        <v>333</v>
      </c>
      <c r="J44" s="215" t="s">
        <v>308</v>
      </c>
      <c r="K44" s="215" t="s">
        <v>312</v>
      </c>
      <c r="L44" s="215" t="s">
        <v>322</v>
      </c>
      <c r="M44" s="215" t="str">
        <f t="shared" si="1"/>
        <v>LPGManufacturing industries and construction</v>
      </c>
      <c r="N44" s="400">
        <v>64.8</v>
      </c>
      <c r="O44" s="401">
        <v>1E-3</v>
      </c>
      <c r="P44" s="401">
        <v>1E-4</v>
      </c>
      <c r="Q44" s="217">
        <f>O44*_xlfn.XLOOKUP('Emission Factors'!O$16,GWPs!$B:$B,GWPs!$E:$E)</f>
        <v>2.5000000000000001E-2</v>
      </c>
      <c r="R44" s="224">
        <f>P44*_xlfn.XLOOKUP('Emission Factors'!P$16,GWPs!$B:$B,GWPs!$E:$E)</f>
        <v>2.98E-2</v>
      </c>
      <c r="S44" s="217">
        <f>N44+(_xlfn.XLOOKUP($O$16,GWPs!$B:$B,GWPs!$E:$E)*O44)+(_xlfn.XLOOKUP($P$16,GWPs!$B:$B,GWPs!$E:$E)*P44)</f>
        <v>64.854799999999997</v>
      </c>
      <c r="T44" s="383">
        <f>N44+(_xlfn.XLOOKUP($O$16,GWPs!$B:$B,GWPs!$F:$F)*O44)+(_xlfn.XLOOKUP($P$16,GWPs!$B:$B,GWPs!$F:$F)*P44)</f>
        <v>64.854500000000002</v>
      </c>
      <c r="U44" s="218" t="s">
        <v>309</v>
      </c>
      <c r="V44" s="218"/>
      <c r="W44" s="218" t="s">
        <v>1269</v>
      </c>
      <c r="X44" s="67"/>
      <c r="Y44" s="67"/>
      <c r="Z44" s="67"/>
      <c r="AA44" s="67"/>
      <c r="AB44" s="67"/>
      <c r="AC44" s="67"/>
    </row>
    <row r="45" spans="2:29" ht="14.45" customHeight="1">
      <c r="B45" s="166"/>
      <c r="C45" s="173"/>
      <c r="D45" s="212">
        <v>1</v>
      </c>
      <c r="E45" s="212" t="s">
        <v>306</v>
      </c>
      <c r="F45" s="212" t="str">
        <f t="shared" si="0"/>
        <v>1 - Stationary Combustion</v>
      </c>
      <c r="G45" s="212" t="s">
        <v>307</v>
      </c>
      <c r="H45" s="215" t="s">
        <v>326</v>
      </c>
      <c r="I45" s="215" t="s">
        <v>327</v>
      </c>
      <c r="J45" s="215" t="s">
        <v>308</v>
      </c>
      <c r="K45" s="215" t="s">
        <v>313</v>
      </c>
      <c r="L45" s="212" t="s">
        <v>320</v>
      </c>
      <c r="M45" s="215" t="str">
        <f t="shared" si="1"/>
        <v>BiogasPublic electricity and heat production</v>
      </c>
      <c r="N45" s="402">
        <v>81.900000000000006</v>
      </c>
      <c r="O45" s="401">
        <v>1E-3</v>
      </c>
      <c r="P45" s="401">
        <v>1E-4</v>
      </c>
      <c r="Q45" s="217">
        <f>O45*_xlfn.XLOOKUP('Emission Factors'!O$16,GWPs!$B:$B,GWPs!$E:$E)</f>
        <v>2.5000000000000001E-2</v>
      </c>
      <c r="R45" s="224">
        <f>P45*_xlfn.XLOOKUP('Emission Factors'!P$16,GWPs!$B:$B,GWPs!$E:$E)</f>
        <v>2.98E-2</v>
      </c>
      <c r="S45" s="217">
        <f>N45+(_xlfn.XLOOKUP($O$16,GWPs!$B:$B,GWPs!$E:$E)*O45)+(_xlfn.XLOOKUP($P$16,GWPs!$B:$B,GWPs!$E:$E)*P45)</f>
        <v>81.954800000000006</v>
      </c>
      <c r="T45" s="383">
        <f>N45+(_xlfn.XLOOKUP($O$16,GWPs!$B:$B,GWPs!$F:$F)*O45)+(_xlfn.XLOOKUP($P$16,GWPs!$B:$B,GWPs!$F:$F)*P45)</f>
        <v>81.95450000000001</v>
      </c>
      <c r="U45" s="218" t="s">
        <v>309</v>
      </c>
      <c r="V45" s="218"/>
      <c r="W45" s="218" t="s">
        <v>1269</v>
      </c>
      <c r="X45" s="67"/>
      <c r="Y45" s="67"/>
      <c r="Z45" s="67"/>
      <c r="AA45" s="67"/>
      <c r="AB45" s="67"/>
      <c r="AC45" s="67"/>
    </row>
    <row r="46" spans="2:29" ht="14.45" customHeight="1">
      <c r="B46" s="166"/>
      <c r="C46" s="173"/>
      <c r="D46" s="212">
        <v>1</v>
      </c>
      <c r="E46" s="212" t="s">
        <v>306</v>
      </c>
      <c r="F46" s="212" t="str">
        <f t="shared" si="0"/>
        <v>1 - Stationary Combustion</v>
      </c>
      <c r="G46" s="212" t="s">
        <v>307</v>
      </c>
      <c r="H46" s="215" t="s">
        <v>328</v>
      </c>
      <c r="I46" s="215" t="s">
        <v>329</v>
      </c>
      <c r="J46" s="215" t="s">
        <v>308</v>
      </c>
      <c r="K46" s="215" t="s">
        <v>313</v>
      </c>
      <c r="L46" s="215" t="s">
        <v>323</v>
      </c>
      <c r="M46" s="215" t="str">
        <f t="shared" si="1"/>
        <v>BiogasCommercial/Institutional</v>
      </c>
      <c r="N46" s="402">
        <v>81.900000000000006</v>
      </c>
      <c r="O46" s="401">
        <v>5.0000000000000001E-3</v>
      </c>
      <c r="P46" s="401">
        <v>1E-4</v>
      </c>
      <c r="Q46" s="217">
        <f>O46*_xlfn.XLOOKUP('Emission Factors'!O$16,GWPs!$B:$B,GWPs!$E:$E)</f>
        <v>0.125</v>
      </c>
      <c r="R46" s="224">
        <f>P46*_xlfn.XLOOKUP('Emission Factors'!P$16,GWPs!$B:$B,GWPs!$E:$E)</f>
        <v>2.98E-2</v>
      </c>
      <c r="S46" s="217">
        <f>N46+(_xlfn.XLOOKUP($O$16,GWPs!$B:$B,GWPs!$E:$E)*O46)+(_xlfn.XLOOKUP($P$16,GWPs!$B:$B,GWPs!$E:$E)*P46)</f>
        <v>82.0548</v>
      </c>
      <c r="T46" s="383">
        <f>N46+(_xlfn.XLOOKUP($O$16,GWPs!$B:$B,GWPs!$F:$F)*O46)+(_xlfn.XLOOKUP($P$16,GWPs!$B:$B,GWPs!$F:$F)*P46)</f>
        <v>82.066500000000005</v>
      </c>
      <c r="U46" s="218" t="s">
        <v>309</v>
      </c>
      <c r="V46" s="218"/>
      <c r="W46" s="218" t="s">
        <v>1269</v>
      </c>
      <c r="X46" s="67"/>
      <c r="Y46" s="67"/>
      <c r="Z46" s="67"/>
      <c r="AA46" s="67"/>
      <c r="AB46" s="67"/>
      <c r="AC46" s="67"/>
    </row>
    <row r="47" spans="2:29" ht="14.45" customHeight="1">
      <c r="B47" s="166"/>
      <c r="C47" s="173"/>
      <c r="D47" s="212">
        <v>1</v>
      </c>
      <c r="E47" s="212" t="s">
        <v>306</v>
      </c>
      <c r="F47" s="212" t="str">
        <f t="shared" si="0"/>
        <v>1 - Stationary Combustion</v>
      </c>
      <c r="G47" s="212" t="s">
        <v>307</v>
      </c>
      <c r="H47" s="215" t="s">
        <v>330</v>
      </c>
      <c r="I47" s="215" t="s">
        <v>330</v>
      </c>
      <c r="J47" s="215" t="s">
        <v>308</v>
      </c>
      <c r="K47" s="215" t="s">
        <v>313</v>
      </c>
      <c r="L47" s="215" t="s">
        <v>324</v>
      </c>
      <c r="M47" s="215" t="str">
        <f t="shared" si="1"/>
        <v>BiogasResidential</v>
      </c>
      <c r="N47" s="402">
        <v>81.900000000000006</v>
      </c>
      <c r="O47" s="401">
        <v>1E-3</v>
      </c>
      <c r="P47" s="401">
        <v>1E-3</v>
      </c>
      <c r="Q47" s="217">
        <f>O47*_xlfn.XLOOKUP('Emission Factors'!O$16,GWPs!$B:$B,GWPs!$E:$E)</f>
        <v>2.5000000000000001E-2</v>
      </c>
      <c r="R47" s="224">
        <f>P47*_xlfn.XLOOKUP('Emission Factors'!P$16,GWPs!$B:$B,GWPs!$E:$E)</f>
        <v>0.29799999999999999</v>
      </c>
      <c r="S47" s="217">
        <f>N47+(_xlfn.XLOOKUP($O$16,GWPs!$B:$B,GWPs!$E:$E)*O47)+(_xlfn.XLOOKUP($P$16,GWPs!$B:$B,GWPs!$E:$E)*P47)</f>
        <v>82.223000000000013</v>
      </c>
      <c r="T47" s="383">
        <f>N47+(_xlfn.XLOOKUP($O$16,GWPs!$B:$B,GWPs!$F:$F)*O47)+(_xlfn.XLOOKUP($P$16,GWPs!$B:$B,GWPs!$F:$F)*P47)</f>
        <v>82.193000000000012</v>
      </c>
      <c r="U47" s="218" t="s">
        <v>309</v>
      </c>
      <c r="V47" s="218"/>
      <c r="W47" s="218" t="s">
        <v>1269</v>
      </c>
      <c r="X47" s="67"/>
      <c r="Y47" s="67"/>
      <c r="Z47" s="67"/>
      <c r="AA47" s="67"/>
      <c r="AB47" s="67"/>
      <c r="AC47" s="67"/>
    </row>
    <row r="48" spans="2:29" ht="14.45" customHeight="1">
      <c r="B48" s="166"/>
      <c r="C48" s="173"/>
      <c r="D48" s="212">
        <v>1</v>
      </c>
      <c r="E48" s="212" t="s">
        <v>306</v>
      </c>
      <c r="F48" s="212" t="str">
        <f t="shared" si="0"/>
        <v>1 - Stationary Combustion</v>
      </c>
      <c r="G48" s="212" t="s">
        <v>307</v>
      </c>
      <c r="H48" s="215" t="s">
        <v>331</v>
      </c>
      <c r="I48" s="215" t="s">
        <v>332</v>
      </c>
      <c r="J48" s="215" t="s">
        <v>308</v>
      </c>
      <c r="K48" s="215" t="s">
        <v>313</v>
      </c>
      <c r="L48" s="215" t="s">
        <v>325</v>
      </c>
      <c r="M48" s="215" t="str">
        <f t="shared" si="1"/>
        <v>BiogasAgriculture</v>
      </c>
      <c r="N48" s="402">
        <v>81.900000000000006</v>
      </c>
      <c r="O48" s="401">
        <v>5.0000000000000001E-3</v>
      </c>
      <c r="P48" s="401">
        <v>1E-4</v>
      </c>
      <c r="Q48" s="217">
        <f>O48*_xlfn.XLOOKUP('Emission Factors'!O$16,GWPs!$B:$B,GWPs!$E:$E)</f>
        <v>0.125</v>
      </c>
      <c r="R48" s="224">
        <f>P48*_xlfn.XLOOKUP('Emission Factors'!P$16,GWPs!$B:$B,GWPs!$E:$E)</f>
        <v>2.98E-2</v>
      </c>
      <c r="S48" s="217">
        <f>N48+(_xlfn.XLOOKUP($O$16,GWPs!$B:$B,GWPs!$E:$E)*O48)+(_xlfn.XLOOKUP($P$16,GWPs!$B:$B,GWPs!$E:$E)*P48)</f>
        <v>82.0548</v>
      </c>
      <c r="T48" s="383">
        <f>N48+(_xlfn.XLOOKUP($O$16,GWPs!$B:$B,GWPs!$F:$F)*O48)+(_xlfn.XLOOKUP($P$16,GWPs!$B:$B,GWPs!$F:$F)*P48)</f>
        <v>82.066500000000005</v>
      </c>
      <c r="U48" s="218" t="s">
        <v>309</v>
      </c>
      <c r="V48" s="218"/>
      <c r="W48" s="218" t="s">
        <v>1269</v>
      </c>
      <c r="X48" s="67"/>
      <c r="Y48" s="67"/>
      <c r="Z48" s="67"/>
      <c r="AA48" s="67"/>
      <c r="AB48" s="67"/>
      <c r="AC48" s="67"/>
    </row>
    <row r="49" spans="2:29" ht="14.45" customHeight="1">
      <c r="B49" s="166"/>
      <c r="C49" s="173"/>
      <c r="D49" s="212">
        <v>1</v>
      </c>
      <c r="E49" s="212" t="s">
        <v>306</v>
      </c>
      <c r="F49" s="212" t="str">
        <f t="shared" si="0"/>
        <v>1 - Stationary Combustion</v>
      </c>
      <c r="G49" s="212" t="s">
        <v>307</v>
      </c>
      <c r="H49" s="215" t="s">
        <v>333</v>
      </c>
      <c r="I49" s="215" t="s">
        <v>333</v>
      </c>
      <c r="J49" s="215" t="s">
        <v>308</v>
      </c>
      <c r="K49" s="215" t="s">
        <v>313</v>
      </c>
      <c r="L49" s="215" t="s">
        <v>322</v>
      </c>
      <c r="M49" s="215" t="str">
        <f t="shared" si="1"/>
        <v>BiogasManufacturing industries and construction</v>
      </c>
      <c r="N49" s="402">
        <v>81.900000000000006</v>
      </c>
      <c r="O49" s="401">
        <v>1E-3</v>
      </c>
      <c r="P49" s="401">
        <v>1E-4</v>
      </c>
      <c r="Q49" s="217">
        <f>O49*_xlfn.XLOOKUP('Emission Factors'!O$16,GWPs!$B:$B,GWPs!$E:$E)</f>
        <v>2.5000000000000001E-2</v>
      </c>
      <c r="R49" s="224">
        <f>P49*_xlfn.XLOOKUP('Emission Factors'!P$16,GWPs!$B:$B,GWPs!$E:$E)</f>
        <v>2.98E-2</v>
      </c>
      <c r="S49" s="217">
        <f>N49+(_xlfn.XLOOKUP($O$16,GWPs!$B:$B,GWPs!$E:$E)*O49)+(_xlfn.XLOOKUP($P$16,GWPs!$B:$B,GWPs!$E:$E)*P49)</f>
        <v>81.954800000000006</v>
      </c>
      <c r="T49" s="383">
        <f>N49+(_xlfn.XLOOKUP($O$16,GWPs!$B:$B,GWPs!$F:$F)*O49)+(_xlfn.XLOOKUP($P$16,GWPs!$B:$B,GWPs!$F:$F)*P49)</f>
        <v>81.95450000000001</v>
      </c>
      <c r="U49" s="218" t="s">
        <v>309</v>
      </c>
      <c r="V49" s="218"/>
      <c r="W49" s="218" t="s">
        <v>1269</v>
      </c>
      <c r="X49" s="67"/>
      <c r="Y49" s="67"/>
      <c r="Z49" s="67"/>
      <c r="AA49" s="67"/>
      <c r="AB49" s="67"/>
      <c r="AC49" s="67"/>
    </row>
    <row r="50" spans="2:29" ht="14.45" customHeight="1">
      <c r="B50" s="166"/>
      <c r="C50" s="173"/>
      <c r="D50" s="212">
        <v>1</v>
      </c>
      <c r="E50" s="212" t="s">
        <v>306</v>
      </c>
      <c r="F50" s="212" t="str">
        <f t="shared" si="0"/>
        <v>1 - Stationary Combustion</v>
      </c>
      <c r="G50" s="212" t="s">
        <v>307</v>
      </c>
      <c r="H50" s="215" t="s">
        <v>326</v>
      </c>
      <c r="I50" s="215" t="s">
        <v>327</v>
      </c>
      <c r="J50" s="215" t="s">
        <v>308</v>
      </c>
      <c r="K50" s="215" t="s">
        <v>314</v>
      </c>
      <c r="L50" s="212" t="s">
        <v>320</v>
      </c>
      <c r="M50" s="215" t="str">
        <f t="shared" si="1"/>
        <v>Wood PelletsPublic electricity and heat production</v>
      </c>
      <c r="N50" s="402">
        <v>97.4</v>
      </c>
      <c r="O50" s="401">
        <v>3.0999999999999999E-3</v>
      </c>
      <c r="P50" s="401">
        <v>8.0000000000000004E-4</v>
      </c>
      <c r="Q50" s="217">
        <f>O50*_xlfn.XLOOKUP('Emission Factors'!O$16,GWPs!$B:$B,GWPs!$E:$E)</f>
        <v>7.7499999999999999E-2</v>
      </c>
      <c r="R50" s="224">
        <f>P50*_xlfn.XLOOKUP('Emission Factors'!P$16,GWPs!$B:$B,GWPs!$E:$E)</f>
        <v>0.2384</v>
      </c>
      <c r="S50" s="217">
        <f>N50+(_xlfn.XLOOKUP($O$16,GWPs!$B:$B,GWPs!$E:$E)*O50)+(_xlfn.XLOOKUP($P$16,GWPs!$B:$B,GWPs!$E:$E)*P50)</f>
        <v>97.715900000000005</v>
      </c>
      <c r="T50" s="383">
        <f>N50+(_xlfn.XLOOKUP($O$16,GWPs!$B:$B,GWPs!$F:$F)*O50)+(_xlfn.XLOOKUP($P$16,GWPs!$B:$B,GWPs!$F:$F)*P50)</f>
        <v>97.698800000000006</v>
      </c>
      <c r="U50" s="218" t="s">
        <v>309</v>
      </c>
      <c r="V50" s="218"/>
      <c r="W50" s="218" t="s">
        <v>1269</v>
      </c>
      <c r="X50" s="67"/>
      <c r="Y50" s="67"/>
      <c r="Z50" s="67"/>
      <c r="AA50" s="67"/>
      <c r="AB50" s="67"/>
      <c r="AC50" s="67"/>
    </row>
    <row r="51" spans="2:29" ht="14.45" customHeight="1">
      <c r="B51" s="166"/>
      <c r="C51" s="173"/>
      <c r="D51" s="212">
        <v>1</v>
      </c>
      <c r="E51" s="212" t="s">
        <v>306</v>
      </c>
      <c r="F51" s="212" t="str">
        <f t="shared" si="0"/>
        <v>1 - Stationary Combustion</v>
      </c>
      <c r="G51" s="212" t="s">
        <v>307</v>
      </c>
      <c r="H51" s="215" t="s">
        <v>328</v>
      </c>
      <c r="I51" s="215" t="s">
        <v>329</v>
      </c>
      <c r="J51" s="215" t="s">
        <v>308</v>
      </c>
      <c r="K51" s="215" t="s">
        <v>314</v>
      </c>
      <c r="L51" s="215" t="s">
        <v>323</v>
      </c>
      <c r="M51" s="215" t="str">
        <f t="shared" si="1"/>
        <v>Wood PelletsCommercial/Institutional</v>
      </c>
      <c r="N51" s="402">
        <v>97.4</v>
      </c>
      <c r="O51" s="401">
        <v>3.0000000000000001E-3</v>
      </c>
      <c r="P51" s="401">
        <v>4.0000000000000001E-3</v>
      </c>
      <c r="Q51" s="217">
        <f>O51*_xlfn.XLOOKUP('Emission Factors'!O$16,GWPs!$B:$B,GWPs!$E:$E)</f>
        <v>7.4999999999999997E-2</v>
      </c>
      <c r="R51" s="224">
        <f>P51*_xlfn.XLOOKUP('Emission Factors'!P$16,GWPs!$B:$B,GWPs!$E:$E)</f>
        <v>1.1919999999999999</v>
      </c>
      <c r="S51" s="217">
        <f>N51+(_xlfn.XLOOKUP($O$16,GWPs!$B:$B,GWPs!$E:$E)*O51)+(_xlfn.XLOOKUP($P$16,GWPs!$B:$B,GWPs!$E:$E)*P51)</f>
        <v>98.667000000000002</v>
      </c>
      <c r="T51" s="383">
        <f>N51+(_xlfn.XLOOKUP($O$16,GWPs!$B:$B,GWPs!$F:$F)*O51)+(_xlfn.XLOOKUP($P$16,GWPs!$B:$B,GWPs!$F:$F)*P51)</f>
        <v>98.544000000000011</v>
      </c>
      <c r="U51" s="218" t="s">
        <v>309</v>
      </c>
      <c r="V51" s="218"/>
      <c r="W51" s="218" t="s">
        <v>1269</v>
      </c>
      <c r="X51" s="67"/>
      <c r="Y51" s="67"/>
      <c r="Z51" s="67"/>
      <c r="AA51" s="67"/>
      <c r="AB51" s="67"/>
      <c r="AC51" s="67"/>
    </row>
    <row r="52" spans="2:29" ht="14.45" customHeight="1">
      <c r="B52" s="166"/>
      <c r="C52" s="173"/>
      <c r="D52" s="212">
        <v>1</v>
      </c>
      <c r="E52" s="212" t="s">
        <v>306</v>
      </c>
      <c r="F52" s="212" t="str">
        <f t="shared" si="0"/>
        <v>1 - Stationary Combustion</v>
      </c>
      <c r="G52" s="212" t="s">
        <v>307</v>
      </c>
      <c r="H52" s="215" t="s">
        <v>330</v>
      </c>
      <c r="I52" s="215" t="s">
        <v>330</v>
      </c>
      <c r="J52" s="215" t="s">
        <v>308</v>
      </c>
      <c r="K52" s="215" t="s">
        <v>314</v>
      </c>
      <c r="L52" s="215" t="s">
        <v>324</v>
      </c>
      <c r="M52" s="215" t="str">
        <f t="shared" si="1"/>
        <v>Wood PelletsResidential</v>
      </c>
      <c r="N52" s="402">
        <v>97.4</v>
      </c>
      <c r="O52" s="401">
        <v>3.0000000000000001E-3</v>
      </c>
      <c r="P52" s="401">
        <v>4.0000000000000001E-3</v>
      </c>
      <c r="Q52" s="217">
        <f>O52*_xlfn.XLOOKUP('Emission Factors'!O$16,GWPs!$B:$B,GWPs!$E:$E)</f>
        <v>7.4999999999999997E-2</v>
      </c>
      <c r="R52" s="224">
        <f>P52*_xlfn.XLOOKUP('Emission Factors'!P$16,GWPs!$B:$B,GWPs!$E:$E)</f>
        <v>1.1919999999999999</v>
      </c>
      <c r="S52" s="217">
        <f>N52+(_xlfn.XLOOKUP($O$16,GWPs!$B:$B,GWPs!$E:$E)*O52)+(_xlfn.XLOOKUP($P$16,GWPs!$B:$B,GWPs!$E:$E)*P52)</f>
        <v>98.667000000000002</v>
      </c>
      <c r="T52" s="383">
        <f>N52+(_xlfn.XLOOKUP($O$16,GWPs!$B:$B,GWPs!$F:$F)*O52)+(_xlfn.XLOOKUP($P$16,GWPs!$B:$B,GWPs!$F:$F)*P52)</f>
        <v>98.544000000000011</v>
      </c>
      <c r="U52" s="218" t="s">
        <v>309</v>
      </c>
      <c r="V52" s="218"/>
      <c r="W52" s="218" t="s">
        <v>1269</v>
      </c>
      <c r="X52" s="67"/>
      <c r="Y52" s="67"/>
      <c r="Z52" s="67"/>
      <c r="AA52" s="67"/>
      <c r="AB52" s="67"/>
      <c r="AC52" s="67"/>
    </row>
    <row r="53" spans="2:29" ht="14.45" customHeight="1">
      <c r="B53" s="166"/>
      <c r="C53" s="173"/>
      <c r="D53" s="212">
        <v>1</v>
      </c>
      <c r="E53" s="212" t="s">
        <v>306</v>
      </c>
      <c r="F53" s="212" t="str">
        <f t="shared" si="0"/>
        <v>1 - Stationary Combustion</v>
      </c>
      <c r="G53" s="212" t="s">
        <v>307</v>
      </c>
      <c r="H53" s="215" t="s">
        <v>331</v>
      </c>
      <c r="I53" s="215" t="s">
        <v>332</v>
      </c>
      <c r="J53" s="215" t="s">
        <v>308</v>
      </c>
      <c r="K53" s="215" t="s">
        <v>314</v>
      </c>
      <c r="L53" s="215" t="s">
        <v>325</v>
      </c>
      <c r="M53" s="215" t="str">
        <f t="shared" si="1"/>
        <v>Wood PelletsAgriculture</v>
      </c>
      <c r="N53" s="402">
        <v>97.4</v>
      </c>
      <c r="O53" s="401">
        <v>3.0000000000000001E-3</v>
      </c>
      <c r="P53" s="401">
        <v>4.0000000000000001E-3</v>
      </c>
      <c r="Q53" s="217">
        <f>O53*_xlfn.XLOOKUP('Emission Factors'!O$16,GWPs!$B:$B,GWPs!$E:$E)</f>
        <v>7.4999999999999997E-2</v>
      </c>
      <c r="R53" s="224">
        <f>P53*_xlfn.XLOOKUP('Emission Factors'!P$16,GWPs!$B:$B,GWPs!$E:$E)</f>
        <v>1.1919999999999999</v>
      </c>
      <c r="S53" s="217">
        <f>N53+(_xlfn.XLOOKUP($O$16,GWPs!$B:$B,GWPs!$E:$E)*O53)+(_xlfn.XLOOKUP($P$16,GWPs!$B:$B,GWPs!$E:$E)*P53)</f>
        <v>98.667000000000002</v>
      </c>
      <c r="T53" s="383">
        <f>N53+(_xlfn.XLOOKUP($O$16,GWPs!$B:$B,GWPs!$F:$F)*O53)+(_xlfn.XLOOKUP($P$16,GWPs!$B:$B,GWPs!$F:$F)*P53)</f>
        <v>98.544000000000011</v>
      </c>
      <c r="U53" s="218" t="s">
        <v>309</v>
      </c>
      <c r="V53" s="218"/>
      <c r="W53" s="218" t="s">
        <v>1269</v>
      </c>
      <c r="X53" s="67"/>
      <c r="Y53" s="67"/>
      <c r="Z53" s="67"/>
      <c r="AA53" s="67"/>
      <c r="AB53" s="67"/>
      <c r="AC53" s="67"/>
    </row>
    <row r="54" spans="2:29" ht="14.45" customHeight="1">
      <c r="B54" s="166"/>
      <c r="C54" s="173"/>
      <c r="D54" s="212">
        <v>1</v>
      </c>
      <c r="E54" s="212" t="s">
        <v>306</v>
      </c>
      <c r="F54" s="212" t="str">
        <f t="shared" si="0"/>
        <v>1 - Stationary Combustion</v>
      </c>
      <c r="G54" s="212" t="s">
        <v>307</v>
      </c>
      <c r="H54" s="215" t="s">
        <v>333</v>
      </c>
      <c r="I54" s="215" t="s">
        <v>333</v>
      </c>
      <c r="J54" s="215" t="s">
        <v>308</v>
      </c>
      <c r="K54" s="215" t="s">
        <v>314</v>
      </c>
      <c r="L54" s="215" t="s">
        <v>322</v>
      </c>
      <c r="M54" s="215" t="str">
        <f t="shared" si="1"/>
        <v>Wood PelletsManufacturing industries and construction</v>
      </c>
      <c r="N54" s="402">
        <v>97.4</v>
      </c>
      <c r="O54" s="401">
        <v>3.0000000000000001E-3</v>
      </c>
      <c r="P54" s="401">
        <v>4.0000000000000001E-3</v>
      </c>
      <c r="Q54" s="217">
        <f>O54*_xlfn.XLOOKUP('Emission Factors'!O$16,GWPs!$B:$B,GWPs!$E:$E)</f>
        <v>7.4999999999999997E-2</v>
      </c>
      <c r="R54" s="224">
        <f>P54*_xlfn.XLOOKUP('Emission Factors'!P$16,GWPs!$B:$B,GWPs!$E:$E)</f>
        <v>1.1919999999999999</v>
      </c>
      <c r="S54" s="217">
        <f>N54+(_xlfn.XLOOKUP($O$16,GWPs!$B:$B,GWPs!$E:$E)*O54)+(_xlfn.XLOOKUP($P$16,GWPs!$B:$B,GWPs!$E:$E)*P54)</f>
        <v>98.667000000000002</v>
      </c>
      <c r="T54" s="383">
        <f>N54+(_xlfn.XLOOKUP($O$16,GWPs!$B:$B,GWPs!$F:$F)*O54)+(_xlfn.XLOOKUP($P$16,GWPs!$B:$B,GWPs!$F:$F)*P54)</f>
        <v>98.544000000000011</v>
      </c>
      <c r="U54" s="218" t="s">
        <v>309</v>
      </c>
      <c r="V54" s="218"/>
      <c r="W54" s="218" t="s">
        <v>1269</v>
      </c>
      <c r="X54" s="67"/>
      <c r="Y54" s="67"/>
      <c r="Z54" s="67"/>
      <c r="AA54" s="67"/>
      <c r="AB54" s="67"/>
      <c r="AC54" s="67"/>
    </row>
    <row r="55" spans="2:29" ht="14.45" customHeight="1">
      <c r="B55" s="166"/>
      <c r="C55" s="173"/>
      <c r="D55" s="212">
        <v>1</v>
      </c>
      <c r="E55" s="212" t="s">
        <v>306</v>
      </c>
      <c r="F55" s="212" t="str">
        <f t="shared" si="0"/>
        <v>1 - Stationary Combustion</v>
      </c>
      <c r="G55" s="212" t="s">
        <v>307</v>
      </c>
      <c r="H55" s="212"/>
      <c r="I55" s="212"/>
      <c r="J55" s="212" t="s">
        <v>308</v>
      </c>
      <c r="K55" s="215" t="s">
        <v>315</v>
      </c>
      <c r="L55" s="215"/>
      <c r="M55" s="215" t="str">
        <f t="shared" si="1"/>
        <v>Propane</v>
      </c>
      <c r="N55" s="280"/>
      <c r="O55" s="281"/>
      <c r="P55" s="281"/>
      <c r="Q55" s="278"/>
      <c r="R55" s="279"/>
      <c r="S55" s="222">
        <v>2997.55</v>
      </c>
      <c r="T55" s="388">
        <v>2997.63</v>
      </c>
      <c r="U55" s="218" t="s">
        <v>281</v>
      </c>
      <c r="V55" s="218"/>
      <c r="W55" s="218" t="s">
        <v>1093</v>
      </c>
      <c r="X55" s="67"/>
      <c r="Y55" s="67"/>
      <c r="Z55" s="67"/>
      <c r="AA55" s="67"/>
      <c r="AB55" s="67"/>
      <c r="AC55" s="67"/>
    </row>
    <row r="56" spans="2:29" ht="14.45" customHeight="1">
      <c r="B56" s="166"/>
      <c r="C56" s="173"/>
      <c r="D56" s="212">
        <v>1</v>
      </c>
      <c r="E56" s="212" t="s">
        <v>306</v>
      </c>
      <c r="F56" s="212" t="str">
        <f t="shared" si="0"/>
        <v>1 - Stationary Combustion</v>
      </c>
      <c r="G56" s="212" t="s">
        <v>307</v>
      </c>
      <c r="H56" s="212"/>
      <c r="I56" s="212"/>
      <c r="J56" s="212" t="s">
        <v>308</v>
      </c>
      <c r="K56" s="215" t="s">
        <v>315</v>
      </c>
      <c r="L56" s="215"/>
      <c r="M56" s="215" t="str">
        <f t="shared" si="1"/>
        <v>Propane</v>
      </c>
      <c r="N56" s="280"/>
      <c r="O56" s="281"/>
      <c r="P56" s="281"/>
      <c r="Q56" s="278"/>
      <c r="R56" s="279"/>
      <c r="S56" s="222">
        <v>1.5435399999999999</v>
      </c>
      <c r="T56" s="388">
        <v>1.54</v>
      </c>
      <c r="U56" s="218" t="s">
        <v>334</v>
      </c>
      <c r="V56" s="218"/>
      <c r="W56" s="218" t="s">
        <v>1093</v>
      </c>
      <c r="X56" s="67"/>
      <c r="Y56" s="67"/>
      <c r="Z56" s="67"/>
      <c r="AA56" s="67"/>
      <c r="AB56" s="67"/>
      <c r="AC56" s="67"/>
    </row>
    <row r="57" spans="2:29" ht="15.6" customHeight="1">
      <c r="B57" s="166"/>
      <c r="C57" s="173"/>
      <c r="D57" s="212">
        <v>1</v>
      </c>
      <c r="E57" s="212" t="s">
        <v>306</v>
      </c>
      <c r="F57" s="212" t="str">
        <f t="shared" si="0"/>
        <v>1 - Stationary Combustion</v>
      </c>
      <c r="G57" s="212" t="s">
        <v>307</v>
      </c>
      <c r="H57" s="212"/>
      <c r="I57" s="212"/>
      <c r="J57" s="212" t="s">
        <v>308</v>
      </c>
      <c r="K57" s="215" t="s">
        <v>315</v>
      </c>
      <c r="L57" s="215"/>
      <c r="M57" s="215" t="str">
        <f t="shared" si="1"/>
        <v>Propane</v>
      </c>
      <c r="N57" s="280"/>
      <c r="O57" s="281"/>
      <c r="P57" s="281"/>
      <c r="Q57" s="278"/>
      <c r="R57" s="279"/>
      <c r="S57" s="222">
        <v>0.21410999999999999</v>
      </c>
      <c r="T57" s="388">
        <v>0.21</v>
      </c>
      <c r="U57" s="221" t="s">
        <v>335</v>
      </c>
      <c r="V57" s="218"/>
      <c r="W57" s="218" t="s">
        <v>1093</v>
      </c>
      <c r="X57" s="67"/>
      <c r="Y57" s="67"/>
      <c r="Z57" s="67"/>
      <c r="AA57" s="67"/>
      <c r="AB57" s="67"/>
      <c r="AC57" s="67"/>
    </row>
    <row r="58" spans="2:29" ht="15.6" customHeight="1">
      <c r="B58" s="166"/>
      <c r="C58" s="173"/>
      <c r="D58" s="212">
        <v>1</v>
      </c>
      <c r="E58" s="212" t="s">
        <v>306</v>
      </c>
      <c r="F58" s="212" t="str">
        <f t="shared" si="0"/>
        <v>1 - Stationary Combustion</v>
      </c>
      <c r="G58" s="212" t="s">
        <v>307</v>
      </c>
      <c r="H58" s="212"/>
      <c r="I58" s="212"/>
      <c r="J58" s="212" t="s">
        <v>308</v>
      </c>
      <c r="K58" s="215" t="s">
        <v>316</v>
      </c>
      <c r="L58" s="215"/>
      <c r="M58" s="215" t="str">
        <f t="shared" si="1"/>
        <v>Butane</v>
      </c>
      <c r="N58" s="280"/>
      <c r="O58" s="281"/>
      <c r="P58" s="281"/>
      <c r="Q58" s="278"/>
      <c r="R58" s="279"/>
      <c r="S58" s="222">
        <v>3033.32</v>
      </c>
      <c r="T58" s="388">
        <v>3033.38</v>
      </c>
      <c r="U58" s="221" t="s">
        <v>281</v>
      </c>
      <c r="V58" s="218"/>
      <c r="W58" s="218" t="s">
        <v>1094</v>
      </c>
      <c r="X58" s="67"/>
      <c r="Y58" s="67"/>
      <c r="Z58" s="67"/>
      <c r="AA58" s="67"/>
      <c r="AB58" s="67"/>
      <c r="AC58" s="67"/>
    </row>
    <row r="59" spans="2:29" ht="15.6" customHeight="1">
      <c r="B59" s="166"/>
      <c r="C59" s="173"/>
      <c r="D59" s="212">
        <v>1</v>
      </c>
      <c r="E59" s="212" t="s">
        <v>306</v>
      </c>
      <c r="F59" s="212" t="str">
        <f t="shared" si="0"/>
        <v>1 - Stationary Combustion</v>
      </c>
      <c r="G59" s="212" t="s">
        <v>307</v>
      </c>
      <c r="H59" s="212"/>
      <c r="I59" s="212"/>
      <c r="J59" s="212" t="s">
        <v>308</v>
      </c>
      <c r="K59" s="215" t="s">
        <v>316</v>
      </c>
      <c r="L59" s="215"/>
      <c r="M59" s="215" t="str">
        <f t="shared" si="1"/>
        <v>Butane</v>
      </c>
      <c r="N59" s="280"/>
      <c r="O59" s="281"/>
      <c r="P59" s="281"/>
      <c r="Q59" s="278"/>
      <c r="R59" s="279"/>
      <c r="S59" s="222">
        <v>1.74529</v>
      </c>
      <c r="T59" s="388">
        <v>1.75</v>
      </c>
      <c r="U59" s="221" t="s">
        <v>334</v>
      </c>
      <c r="V59" s="218"/>
      <c r="W59" s="218" t="s">
        <v>1094</v>
      </c>
      <c r="X59" s="67"/>
      <c r="Y59" s="67"/>
      <c r="Z59" s="67"/>
      <c r="AA59" s="67"/>
      <c r="AB59" s="67"/>
      <c r="AC59" s="67"/>
    </row>
    <row r="60" spans="2:29" ht="15.6" customHeight="1">
      <c r="B60" s="166"/>
      <c r="C60" s="173"/>
      <c r="D60" s="212">
        <v>1</v>
      </c>
      <c r="E60" s="212" t="s">
        <v>306</v>
      </c>
      <c r="F60" s="212" t="str">
        <f t="shared" si="0"/>
        <v>1 - Stationary Combustion</v>
      </c>
      <c r="G60" s="212" t="s">
        <v>307</v>
      </c>
      <c r="H60" s="212"/>
      <c r="I60" s="212"/>
      <c r="J60" s="212" t="s">
        <v>308</v>
      </c>
      <c r="K60" s="215" t="s">
        <v>316</v>
      </c>
      <c r="L60" s="215"/>
      <c r="M60" s="215" t="str">
        <f t="shared" si="1"/>
        <v>Butane</v>
      </c>
      <c r="N60" s="280"/>
      <c r="O60" s="281"/>
      <c r="P60" s="281"/>
      <c r="Q60" s="278"/>
      <c r="R60" s="279"/>
      <c r="S60" s="222">
        <v>0.22239999999999999</v>
      </c>
      <c r="T60" s="388">
        <v>0.22</v>
      </c>
      <c r="U60" s="221" t="s">
        <v>335</v>
      </c>
      <c r="V60" s="218"/>
      <c r="W60" s="218" t="s">
        <v>1094</v>
      </c>
      <c r="X60" s="67"/>
      <c r="Y60" s="67"/>
      <c r="Z60" s="67"/>
      <c r="AA60" s="67"/>
      <c r="AB60" s="67"/>
      <c r="AC60" s="67"/>
    </row>
    <row r="61" spans="2:29" ht="15.6" customHeight="1">
      <c r="B61" s="166"/>
      <c r="C61" s="173"/>
      <c r="D61" s="212">
        <v>1</v>
      </c>
      <c r="E61" s="212" t="s">
        <v>306</v>
      </c>
      <c r="F61" s="212" t="str">
        <f t="shared" si="0"/>
        <v>1 - Stationary Combustion</v>
      </c>
      <c r="G61" s="212" t="s">
        <v>307</v>
      </c>
      <c r="H61" s="212"/>
      <c r="I61" s="212"/>
      <c r="J61" s="212" t="s">
        <v>308</v>
      </c>
      <c r="K61" s="225" t="s">
        <v>317</v>
      </c>
      <c r="L61" s="215"/>
      <c r="M61" s="215" t="str">
        <f t="shared" si="1"/>
        <v>Waste Oils</v>
      </c>
      <c r="N61" s="280"/>
      <c r="O61" s="281"/>
      <c r="P61" s="281"/>
      <c r="Q61" s="278"/>
      <c r="R61" s="279"/>
      <c r="S61" s="222">
        <v>3224.57</v>
      </c>
      <c r="T61" s="388">
        <v>3219.38</v>
      </c>
      <c r="U61" s="221" t="s">
        <v>281</v>
      </c>
      <c r="V61" s="218"/>
      <c r="W61" s="218" t="s">
        <v>1095</v>
      </c>
      <c r="X61" s="67"/>
      <c r="Y61" s="67"/>
      <c r="Z61" s="67"/>
      <c r="AA61" s="67"/>
      <c r="AB61" s="67"/>
      <c r="AC61" s="67"/>
    </row>
    <row r="62" spans="2:29" ht="15.6" customHeight="1">
      <c r="B62" s="166"/>
      <c r="C62" s="173"/>
      <c r="D62" s="212">
        <v>1</v>
      </c>
      <c r="E62" s="212" t="s">
        <v>306</v>
      </c>
      <c r="F62" s="212" t="str">
        <f t="shared" si="0"/>
        <v>1 - Stationary Combustion</v>
      </c>
      <c r="G62" s="212" t="s">
        <v>307</v>
      </c>
      <c r="H62" s="212"/>
      <c r="I62" s="212"/>
      <c r="J62" s="212" t="s">
        <v>308</v>
      </c>
      <c r="K62" s="225" t="s">
        <v>317</v>
      </c>
      <c r="L62" s="215"/>
      <c r="M62" s="215" t="str">
        <f t="shared" si="1"/>
        <v>Waste Oils</v>
      </c>
      <c r="N62" s="280"/>
      <c r="O62" s="281"/>
      <c r="P62" s="281"/>
      <c r="Q62" s="278"/>
      <c r="R62" s="279"/>
      <c r="S62" s="222">
        <v>2.7536700000000001</v>
      </c>
      <c r="T62" s="388">
        <v>2.75</v>
      </c>
      <c r="U62" s="221" t="s">
        <v>334</v>
      </c>
      <c r="V62" s="218"/>
      <c r="W62" s="218" t="s">
        <v>1095</v>
      </c>
      <c r="X62" s="67"/>
      <c r="Y62" s="67"/>
      <c r="Z62" s="67"/>
      <c r="AA62" s="67"/>
      <c r="AB62" s="67"/>
      <c r="AC62" s="67"/>
    </row>
    <row r="63" spans="2:29" ht="15.6" customHeight="1">
      <c r="B63" s="166"/>
      <c r="C63" s="173"/>
      <c r="D63" s="212">
        <v>1</v>
      </c>
      <c r="E63" s="212" t="s">
        <v>306</v>
      </c>
      <c r="F63" s="212" t="str">
        <f t="shared" si="0"/>
        <v>1 - Stationary Combustion</v>
      </c>
      <c r="G63" s="212" t="s">
        <v>307</v>
      </c>
      <c r="H63" s="212"/>
      <c r="I63" s="212"/>
      <c r="J63" s="212" t="s">
        <v>308</v>
      </c>
      <c r="K63" s="225" t="s">
        <v>317</v>
      </c>
      <c r="L63" s="215"/>
      <c r="M63" s="215" t="str">
        <f t="shared" si="1"/>
        <v>Waste Oils</v>
      </c>
      <c r="N63" s="280"/>
      <c r="O63" s="281"/>
      <c r="P63" s="281"/>
      <c r="Q63" s="278"/>
      <c r="R63" s="279"/>
      <c r="S63" s="222">
        <v>0.25681999999999999</v>
      </c>
      <c r="T63" s="388">
        <v>0.26</v>
      </c>
      <c r="U63" s="221" t="s">
        <v>335</v>
      </c>
      <c r="V63" s="218"/>
      <c r="W63" s="218" t="s">
        <v>1095</v>
      </c>
      <c r="X63" s="67"/>
      <c r="Y63" s="67"/>
      <c r="Z63" s="67"/>
      <c r="AA63" s="67"/>
      <c r="AB63" s="67"/>
      <c r="AC63" s="67"/>
    </row>
    <row r="64" spans="2:29" ht="15.6" customHeight="1">
      <c r="B64" s="166"/>
      <c r="C64" s="173"/>
      <c r="D64" s="212">
        <v>1</v>
      </c>
      <c r="E64" s="212" t="s">
        <v>306</v>
      </c>
      <c r="F64" s="212" t="str">
        <f t="shared" si="0"/>
        <v>1 - Stationary Combustion</v>
      </c>
      <c r="G64" s="212" t="s">
        <v>307</v>
      </c>
      <c r="H64" s="212"/>
      <c r="I64" s="212"/>
      <c r="J64" s="212" t="s">
        <v>308</v>
      </c>
      <c r="K64" s="212" t="s">
        <v>318</v>
      </c>
      <c r="L64" s="215" t="s">
        <v>192</v>
      </c>
      <c r="M64" s="215" t="str">
        <f t="shared" si="1"/>
        <v>Wood logsDefault</v>
      </c>
      <c r="N64" s="280"/>
      <c r="O64" s="280"/>
      <c r="P64" s="280"/>
      <c r="Q64" s="278"/>
      <c r="R64" s="279"/>
      <c r="S64" s="232">
        <v>1.0529999999999999E-2</v>
      </c>
      <c r="T64" s="388">
        <v>1.074E-2</v>
      </c>
      <c r="U64" s="218" t="s">
        <v>204</v>
      </c>
      <c r="V64" s="226"/>
      <c r="W64" s="218" t="s">
        <v>1096</v>
      </c>
      <c r="X64" s="67"/>
      <c r="Y64" s="67"/>
      <c r="Z64" s="67"/>
      <c r="AA64" s="67"/>
      <c r="AB64" s="67"/>
      <c r="AC64" s="67"/>
    </row>
    <row r="65" spans="2:29" ht="15.6" customHeight="1">
      <c r="B65" s="166"/>
      <c r="C65" s="173"/>
      <c r="D65" s="212">
        <v>1</v>
      </c>
      <c r="E65" s="212" t="s">
        <v>306</v>
      </c>
      <c r="F65" s="212" t="str">
        <f t="shared" si="0"/>
        <v>1 - Stationary Combustion</v>
      </c>
      <c r="G65" s="212" t="s">
        <v>307</v>
      </c>
      <c r="H65" s="212"/>
      <c r="I65" s="212"/>
      <c r="J65" s="212" t="s">
        <v>308</v>
      </c>
      <c r="K65" s="212" t="s">
        <v>319</v>
      </c>
      <c r="L65" s="215" t="s">
        <v>192</v>
      </c>
      <c r="M65" s="215" t="str">
        <f t="shared" si="1"/>
        <v>Wood chipsDefault</v>
      </c>
      <c r="N65" s="280"/>
      <c r="O65" s="280"/>
      <c r="P65" s="280"/>
      <c r="Q65" s="278"/>
      <c r="R65" s="279"/>
      <c r="S65" s="232">
        <v>1.0529999999999999E-2</v>
      </c>
      <c r="T65" s="388">
        <v>1.074E-2</v>
      </c>
      <c r="U65" s="218" t="s">
        <v>204</v>
      </c>
      <c r="V65" s="218"/>
      <c r="W65" s="218" t="s">
        <v>1097</v>
      </c>
      <c r="X65" s="67"/>
      <c r="Y65" s="67"/>
      <c r="Z65" s="67"/>
      <c r="AA65" s="67"/>
      <c r="AB65" s="67"/>
      <c r="AC65" s="67"/>
    </row>
    <row r="66" spans="2:29" ht="26.85" customHeight="1">
      <c r="B66" s="166"/>
      <c r="C66" s="173"/>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row>
    <row r="67" spans="2:29" ht="26.85" customHeight="1">
      <c r="B67" s="166"/>
      <c r="C67" s="173"/>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row>
    <row r="68" spans="2:29" ht="40.35" customHeight="1">
      <c r="B68" s="166"/>
      <c r="C68" s="173"/>
      <c r="D68" s="274" t="str">
        <f>IF($A$2="English",_xlfn.XLOOKUP($A$7,Descriptions!$A:$A,Descriptions!$B:$B),_xlfn.XLOOKUP($A$7,Descriptions!$A:$A,Descriptions!$C:$C))</f>
        <v>Vav 1 - Brennievni - brenning á flytførum skipanum</v>
      </c>
      <c r="E68" s="274"/>
      <c r="F68" s="274"/>
      <c r="G68" s="274"/>
      <c r="H68" s="274"/>
      <c r="I68" s="274"/>
      <c r="J68" s="274"/>
      <c r="K68" s="274"/>
      <c r="L68" s="274"/>
      <c r="M68" s="274"/>
      <c r="N68" s="274"/>
      <c r="O68" s="274"/>
      <c r="P68" s="274"/>
      <c r="Q68" s="274"/>
      <c r="R68" s="274"/>
      <c r="S68" s="274"/>
      <c r="T68" s="274"/>
      <c r="U68" s="274"/>
      <c r="V68" s="274"/>
      <c r="W68" s="274"/>
      <c r="X68" s="274"/>
      <c r="Y68" s="274"/>
      <c r="Z68" s="67"/>
      <c r="AA68" s="67"/>
      <c r="AB68" s="67"/>
      <c r="AC68" s="67"/>
    </row>
    <row r="69" spans="2:29" ht="15" customHeight="1">
      <c r="B69" s="166"/>
      <c r="C69" s="173"/>
      <c r="D69" s="67"/>
      <c r="E69" s="67"/>
      <c r="F69" s="67"/>
      <c r="G69" s="67"/>
      <c r="H69" s="67"/>
      <c r="I69" s="67"/>
      <c r="J69" s="67"/>
      <c r="K69" s="67"/>
      <c r="L69" s="67"/>
      <c r="M69" s="67"/>
      <c r="N69" s="84" t="s">
        <v>287</v>
      </c>
      <c r="O69" s="84" t="s">
        <v>288</v>
      </c>
      <c r="P69" s="84" t="s">
        <v>289</v>
      </c>
      <c r="Q69" s="84" t="s">
        <v>290</v>
      </c>
      <c r="R69" s="84" t="s">
        <v>290</v>
      </c>
      <c r="S69" s="84" t="s">
        <v>290</v>
      </c>
      <c r="T69" s="84" t="s">
        <v>291</v>
      </c>
      <c r="U69" s="67"/>
      <c r="V69" s="67"/>
      <c r="W69" s="67"/>
      <c r="X69" s="67"/>
      <c r="Y69" s="67"/>
      <c r="Z69" s="67"/>
      <c r="AA69" s="67"/>
      <c r="AB69" s="67"/>
      <c r="AC69" s="67"/>
    </row>
    <row r="70" spans="2:29" ht="30" customHeight="1">
      <c r="B70" s="166"/>
      <c r="C70" s="173"/>
      <c r="D70" s="154" t="s">
        <v>144</v>
      </c>
      <c r="E70" s="154" t="s">
        <v>145</v>
      </c>
      <c r="F70" s="154" t="s">
        <v>292</v>
      </c>
      <c r="G70" s="154" t="s">
        <v>293</v>
      </c>
      <c r="H70" s="154" t="s">
        <v>145</v>
      </c>
      <c r="I70" s="154" t="s">
        <v>294</v>
      </c>
      <c r="J70" s="154" t="s">
        <v>295</v>
      </c>
      <c r="K70" s="154" t="s">
        <v>230</v>
      </c>
      <c r="L70" s="154" t="s">
        <v>296</v>
      </c>
      <c r="M70" s="154" t="s">
        <v>185</v>
      </c>
      <c r="N70" s="154" t="s">
        <v>297</v>
      </c>
      <c r="O70" s="154" t="s">
        <v>298</v>
      </c>
      <c r="P70" s="154" t="s">
        <v>299</v>
      </c>
      <c r="Q70" s="154" t="s">
        <v>300</v>
      </c>
      <c r="R70" s="154" t="s">
        <v>301</v>
      </c>
      <c r="S70" s="154" t="s">
        <v>302</v>
      </c>
      <c r="T70" s="154" t="s">
        <v>303</v>
      </c>
      <c r="U70" s="154" t="s">
        <v>214</v>
      </c>
      <c r="V70" s="154" t="s">
        <v>304</v>
      </c>
      <c r="W70" s="154" t="s">
        <v>305</v>
      </c>
      <c r="X70" s="67"/>
      <c r="Y70" s="67"/>
      <c r="Z70" s="67"/>
      <c r="AA70" s="67"/>
      <c r="AB70" s="67"/>
      <c r="AC70" s="67"/>
    </row>
    <row r="71" spans="2:29" ht="15" customHeight="1">
      <c r="B71" s="166"/>
      <c r="C71" s="173"/>
      <c r="D71" s="218">
        <v>1</v>
      </c>
      <c r="E71" s="218" t="s">
        <v>336</v>
      </c>
      <c r="F71" s="218" t="str">
        <f t="shared" ref="F71:F131" si="5">D71&amp;" - "&amp;E71</f>
        <v>1 - Mobile Combustion</v>
      </c>
      <c r="G71" s="227" t="s">
        <v>307</v>
      </c>
      <c r="H71" s="227" t="s">
        <v>337</v>
      </c>
      <c r="I71" s="227"/>
      <c r="J71" s="227" t="s">
        <v>308</v>
      </c>
      <c r="K71" s="227" t="s">
        <v>203</v>
      </c>
      <c r="L71" s="227" t="s">
        <v>247</v>
      </c>
      <c r="M71" s="215" t="str">
        <f>K71&amp;L71</f>
        <v>DieselSea Navigation</v>
      </c>
      <c r="N71" s="403">
        <v>74.09999999999998</v>
      </c>
      <c r="O71" s="404">
        <v>1.25E-3</v>
      </c>
      <c r="P71" s="405">
        <v>1.8699999999999999E-3</v>
      </c>
      <c r="Q71" s="217">
        <f>O71*_xlfn.XLOOKUP('Emission Factors'!O$16,GWPs!$B:$B,GWPs!$E:$E)</f>
        <v>3.125E-2</v>
      </c>
      <c r="R71" s="224">
        <f>P71*_xlfn.XLOOKUP('Emission Factors'!P$16,GWPs!$B:$B,GWPs!$E:$E)</f>
        <v>0.55725999999999998</v>
      </c>
      <c r="S71" s="228">
        <f>N71+(_xlfn.XLOOKUP($O$16,GWPs!$B:$B,GWPs!$E:$E)*O71)+(_xlfn.XLOOKUP($P$16,GWPs!$B:$B,GWPs!$E:$E)*P71)</f>
        <v>74.68850999999998</v>
      </c>
      <c r="T71" s="384">
        <f>N71+(_xlfn.XLOOKUP($O$16,GWPs!$B:$B,GWPs!$F:$F)*O71)+(_xlfn.XLOOKUP($P$16,GWPs!$B:$B,GWPs!$F:$F)*P71)</f>
        <v>74.630549999999971</v>
      </c>
      <c r="U71" s="227" t="s">
        <v>309</v>
      </c>
      <c r="V71" s="414" t="s">
        <v>1312</v>
      </c>
      <c r="W71" s="218" t="s">
        <v>310</v>
      </c>
      <c r="Y71" s="67"/>
      <c r="Z71" s="67"/>
      <c r="AA71" s="67"/>
      <c r="AB71" s="67"/>
      <c r="AC71" s="67"/>
    </row>
    <row r="72" spans="2:29" ht="15" customHeight="1">
      <c r="B72" s="166"/>
      <c r="C72" s="173"/>
      <c r="D72" s="218">
        <v>1</v>
      </c>
      <c r="E72" s="218" t="s">
        <v>336</v>
      </c>
      <c r="F72" s="218" t="str">
        <f t="shared" si="5"/>
        <v>1 - Mobile Combustion</v>
      </c>
      <c r="G72" s="227" t="s">
        <v>307</v>
      </c>
      <c r="H72" s="227" t="s">
        <v>337</v>
      </c>
      <c r="I72" s="227"/>
      <c r="J72" s="227" t="s">
        <v>308</v>
      </c>
      <c r="K72" s="227" t="s">
        <v>338</v>
      </c>
      <c r="L72" s="227" t="s">
        <v>247</v>
      </c>
      <c r="M72" s="215" t="str">
        <f t="shared" ref="M72:M130" si="6">K72&amp;L72</f>
        <v>Residual oilSea Navigation</v>
      </c>
      <c r="N72" s="403">
        <v>77.999999999999986</v>
      </c>
      <c r="O72" s="404">
        <v>2.0205795378079659E-3</v>
      </c>
      <c r="P72" s="404">
        <v>1.9501125187550614E-3</v>
      </c>
      <c r="Q72" s="217">
        <f>O72*_xlfn.XLOOKUP('Emission Factors'!O$16,GWPs!$B:$B,GWPs!$E:$E)</f>
        <v>5.0514488445199145E-2</v>
      </c>
      <c r="R72" s="224">
        <f>P72*_xlfn.XLOOKUP('Emission Factors'!P$16,GWPs!$B:$B,GWPs!$E:$E)</f>
        <v>0.5811335305890083</v>
      </c>
      <c r="S72" s="228">
        <f>N72+(_xlfn.XLOOKUP($O$16,GWPs!$B:$B,GWPs!$E:$E)*O72)+(_xlfn.XLOOKUP($P$16,GWPs!$B:$B,GWPs!$E:$E)*P72)</f>
        <v>78.631648019034202</v>
      </c>
      <c r="T72" s="383">
        <f>N72+(_xlfn.XLOOKUP($O$16,GWPs!$B:$B,GWPs!$F:$F)*O72)+(_xlfn.XLOOKUP($P$16,GWPs!$B:$B,GWPs!$F:$F)*P72)</f>
        <v>78.573356044528708</v>
      </c>
      <c r="U72" s="227" t="s">
        <v>309</v>
      </c>
      <c r="V72" s="414" t="s">
        <v>1312</v>
      </c>
      <c r="W72" s="218" t="s">
        <v>310</v>
      </c>
      <c r="Y72" s="67"/>
      <c r="Z72" s="67"/>
      <c r="AA72" s="67"/>
      <c r="AB72" s="67"/>
      <c r="AC72" s="67"/>
    </row>
    <row r="73" spans="2:29" ht="15" customHeight="1">
      <c r="B73" s="166"/>
      <c r="C73" s="173"/>
      <c r="D73" s="218">
        <v>1</v>
      </c>
      <c r="E73" s="218" t="s">
        <v>336</v>
      </c>
      <c r="F73" s="218" t="str">
        <f t="shared" si="5"/>
        <v>1 - Mobile Combustion</v>
      </c>
      <c r="G73" s="227" t="s">
        <v>307</v>
      </c>
      <c r="H73" s="227" t="s">
        <v>339</v>
      </c>
      <c r="I73" s="227"/>
      <c r="J73" s="227" t="s">
        <v>308</v>
      </c>
      <c r="K73" s="227" t="s">
        <v>203</v>
      </c>
      <c r="L73" s="227" t="s">
        <v>340</v>
      </c>
      <c r="M73" s="215" t="str">
        <f t="shared" si="6"/>
        <v>DieselFishing Ships</v>
      </c>
      <c r="N73" s="403">
        <v>74.09999999999998</v>
      </c>
      <c r="O73" s="404">
        <v>1.14E-3</v>
      </c>
      <c r="P73" s="405">
        <v>1.83E-3</v>
      </c>
      <c r="Q73" s="217">
        <f>O73*_xlfn.XLOOKUP('Emission Factors'!O$16,GWPs!$B:$B,GWPs!$E:$E)</f>
        <v>2.8499999999999998E-2</v>
      </c>
      <c r="R73" s="224">
        <f>P73*_xlfn.XLOOKUP('Emission Factors'!P$16,GWPs!$B:$B,GWPs!$E:$E)</f>
        <v>0.54534000000000005</v>
      </c>
      <c r="S73" s="228">
        <f>N73+(_xlfn.XLOOKUP($O$16,GWPs!$B:$B,GWPs!$E:$E)*O73)+(_xlfn.XLOOKUP($P$16,GWPs!$B:$B,GWPs!$E:$E)*P73)</f>
        <v>74.67383999999997</v>
      </c>
      <c r="T73" s="383">
        <f>N73+(_xlfn.XLOOKUP($O$16,GWPs!$B:$B,GWPs!$F:$F)*O73)+(_xlfn.XLOOKUP($P$16,GWPs!$B:$B,GWPs!$F:$F)*P73)</f>
        <v>74.616869999999977</v>
      </c>
      <c r="U73" s="227" t="s">
        <v>309</v>
      </c>
      <c r="V73" s="414" t="s">
        <v>1312</v>
      </c>
      <c r="W73" s="218" t="s">
        <v>310</v>
      </c>
      <c r="Y73" s="67"/>
      <c r="Z73" s="67"/>
      <c r="AA73" s="67"/>
      <c r="AB73" s="67"/>
      <c r="AC73" s="67"/>
    </row>
    <row r="74" spans="2:29" ht="15" customHeight="1">
      <c r="B74" s="166"/>
      <c r="C74" s="173"/>
      <c r="D74" s="218">
        <v>1</v>
      </c>
      <c r="E74" s="218" t="s">
        <v>336</v>
      </c>
      <c r="F74" s="218" t="str">
        <f t="shared" ref="F74" si="7">D74&amp;" - "&amp;E74</f>
        <v>1 - Mobile Combustion</v>
      </c>
      <c r="G74" s="227" t="s">
        <v>307</v>
      </c>
      <c r="H74" s="227" t="s">
        <v>339</v>
      </c>
      <c r="I74" s="227"/>
      <c r="J74" s="227" t="s">
        <v>308</v>
      </c>
      <c r="K74" s="227" t="s">
        <v>338</v>
      </c>
      <c r="L74" s="227" t="s">
        <v>340</v>
      </c>
      <c r="M74" s="215" t="str">
        <f t="shared" si="6"/>
        <v>Residual oilFishing Ships</v>
      </c>
      <c r="N74" s="403">
        <f>N72</f>
        <v>77.999999999999986</v>
      </c>
      <c r="O74" s="404">
        <f>O72</f>
        <v>2.0205795378079659E-3</v>
      </c>
      <c r="P74" s="404">
        <f>P72</f>
        <v>1.9501125187550614E-3</v>
      </c>
      <c r="Q74" s="217">
        <f>O74*_xlfn.XLOOKUP('Emission Factors'!O$16,GWPs!$B:$B,GWPs!$E:$E)</f>
        <v>5.0514488445199145E-2</v>
      </c>
      <c r="R74" s="224">
        <f>P74*_xlfn.XLOOKUP('Emission Factors'!P$16,GWPs!$B:$B,GWPs!$E:$E)</f>
        <v>0.5811335305890083</v>
      </c>
      <c r="S74" s="228">
        <f>N74+(_xlfn.XLOOKUP($O$16,GWPs!$B:$B,GWPs!$E:$E)*O74)+(_xlfn.XLOOKUP($P$16,GWPs!$B:$B,GWPs!$E:$E)*P74)</f>
        <v>78.631648019034202</v>
      </c>
      <c r="T74" s="383">
        <f>N74+(_xlfn.XLOOKUP($O$16,GWPs!$B:$B,GWPs!$F:$F)*O74)+(_xlfn.XLOOKUP($P$16,GWPs!$B:$B,GWPs!$F:$F)*P74)</f>
        <v>78.573356044528708</v>
      </c>
      <c r="U74" s="227" t="s">
        <v>309</v>
      </c>
      <c r="V74" s="414" t="s">
        <v>1312</v>
      </c>
      <c r="W74" s="218" t="s">
        <v>310</v>
      </c>
      <c r="Y74" s="67"/>
      <c r="Z74" s="67"/>
      <c r="AA74" s="67"/>
      <c r="AB74" s="67"/>
      <c r="AC74" s="67"/>
    </row>
    <row r="75" spans="2:29" ht="15" customHeight="1">
      <c r="B75" s="166"/>
      <c r="C75" s="173"/>
      <c r="D75" s="218">
        <v>1</v>
      </c>
      <c r="E75" s="218" t="s">
        <v>336</v>
      </c>
      <c r="F75" s="218" t="str">
        <f t="shared" si="5"/>
        <v>1 - Mobile Combustion</v>
      </c>
      <c r="G75" s="227" t="s">
        <v>307</v>
      </c>
      <c r="H75" s="227" t="s">
        <v>341</v>
      </c>
      <c r="I75" s="227"/>
      <c r="J75" s="227" t="s">
        <v>308</v>
      </c>
      <c r="K75" s="227" t="s">
        <v>203</v>
      </c>
      <c r="L75" s="227" t="s">
        <v>342</v>
      </c>
      <c r="M75" s="215" t="str">
        <f t="shared" si="6"/>
        <v>DieselSea Navigation - International</v>
      </c>
      <c r="N75" s="403">
        <v>74.099999999999994</v>
      </c>
      <c r="O75" s="405">
        <v>1.2800000000000001E-3</v>
      </c>
      <c r="P75" s="404">
        <v>1.873536299765808E-3</v>
      </c>
      <c r="Q75" s="217">
        <f>O75*_xlfn.XLOOKUP('Emission Factors'!O$16,GWPs!$B:$B,GWPs!$E:$E)</f>
        <v>3.2000000000000001E-2</v>
      </c>
      <c r="R75" s="224">
        <f>P75*_xlfn.XLOOKUP('Emission Factors'!P$16,GWPs!$B:$B,GWPs!$E:$E)</f>
        <v>0.55831381733021079</v>
      </c>
      <c r="S75" s="228">
        <f>N75+(_xlfn.XLOOKUP($O$16,GWPs!$B:$B,GWPs!$E:$E)*O75)+(_xlfn.XLOOKUP($P$16,GWPs!$B:$B,GWPs!$E:$E)*P75)</f>
        <v>74.690313817330207</v>
      </c>
      <c r="T75" s="383">
        <f>N75+(_xlfn.XLOOKUP($O$16,GWPs!$B:$B,GWPs!$F:$F)*O75)+(_xlfn.XLOOKUP($P$16,GWPs!$B:$B,GWPs!$F:$F)*P75)</f>
        <v>74.632327119437932</v>
      </c>
      <c r="U75" s="227" t="s">
        <v>309</v>
      </c>
      <c r="V75" s="414" t="s">
        <v>1312</v>
      </c>
      <c r="W75" s="218" t="s">
        <v>310</v>
      </c>
      <c r="Y75" s="67"/>
      <c r="Z75" s="67"/>
      <c r="AA75" s="67"/>
      <c r="AB75" s="67"/>
      <c r="AC75" s="67"/>
    </row>
    <row r="76" spans="2:29" ht="15" customHeight="1">
      <c r="B76" s="166"/>
      <c r="C76" s="173"/>
      <c r="D76" s="218">
        <v>1</v>
      </c>
      <c r="E76" s="218" t="s">
        <v>336</v>
      </c>
      <c r="F76" s="218" t="str">
        <f t="shared" si="5"/>
        <v>1 - Mobile Combustion</v>
      </c>
      <c r="G76" s="227" t="s">
        <v>307</v>
      </c>
      <c r="H76" s="227" t="s">
        <v>341</v>
      </c>
      <c r="I76" s="227"/>
      <c r="J76" s="227" t="s">
        <v>308</v>
      </c>
      <c r="K76" s="227" t="s">
        <v>338</v>
      </c>
      <c r="L76" s="227" t="s">
        <v>342</v>
      </c>
      <c r="M76" s="215" t="str">
        <f t="shared" si="6"/>
        <v>Residual oilSea Navigation - International</v>
      </c>
      <c r="N76" s="403">
        <v>78.000000000000014</v>
      </c>
      <c r="O76" s="405">
        <v>1.42E-3</v>
      </c>
      <c r="P76" s="404">
        <v>1.9559902200489E-3</v>
      </c>
      <c r="Q76" s="217">
        <f>O76*_xlfn.XLOOKUP('Emission Factors'!O$16,GWPs!$B:$B,GWPs!$E:$E)</f>
        <v>3.5500000000000004E-2</v>
      </c>
      <c r="R76" s="224">
        <f>P76*_xlfn.XLOOKUP('Emission Factors'!P$16,GWPs!$B:$B,GWPs!$E:$E)</f>
        <v>0.58288508557457219</v>
      </c>
      <c r="S76" s="228">
        <f>N76+(_xlfn.XLOOKUP($O$16,GWPs!$B:$B,GWPs!$E:$E)*O76)+(_xlfn.XLOOKUP($P$16,GWPs!$B:$B,GWPs!$E:$E)*P76)</f>
        <v>78.618385085574587</v>
      </c>
      <c r="T76" s="384">
        <f>N76+(_xlfn.XLOOKUP($O$16,GWPs!$B:$B,GWPs!$F:$F)*O76)+(_xlfn.XLOOKUP($P$16,GWPs!$B:$B,GWPs!$F:$F)*P76)</f>
        <v>78.558097408312975</v>
      </c>
      <c r="U76" s="227" t="s">
        <v>309</v>
      </c>
      <c r="V76" s="414" t="s">
        <v>1312</v>
      </c>
      <c r="W76" s="218" t="s">
        <v>310</v>
      </c>
      <c r="Y76" s="67"/>
      <c r="Z76" s="67"/>
      <c r="AA76" s="67"/>
      <c r="AB76" s="67"/>
      <c r="AC76" s="67"/>
    </row>
    <row r="77" spans="2:29" ht="15" customHeight="1">
      <c r="B77" s="166"/>
      <c r="C77" s="173"/>
      <c r="D77" s="218">
        <v>1</v>
      </c>
      <c r="E77" s="218" t="s">
        <v>336</v>
      </c>
      <c r="F77" s="218" t="str">
        <f t="shared" si="5"/>
        <v>1 - Mobile Combustion</v>
      </c>
      <c r="G77" s="227" t="s">
        <v>307</v>
      </c>
      <c r="H77" s="229" t="s">
        <v>343</v>
      </c>
      <c r="I77" s="229" t="s">
        <v>344</v>
      </c>
      <c r="J77" s="227" t="s">
        <v>308</v>
      </c>
      <c r="K77" s="229" t="s">
        <v>345</v>
      </c>
      <c r="L77" s="227" t="str">
        <f t="shared" ref="L77:L90" si="8">H77</f>
        <v>Passenger cars</v>
      </c>
      <c r="M77" s="215" t="str">
        <f t="shared" si="6"/>
        <v>Bio ethanolPassenger cars</v>
      </c>
      <c r="N77" s="403">
        <v>0</v>
      </c>
      <c r="O77" s="405">
        <v>2.2899999999999999E-3</v>
      </c>
      <c r="P77" s="405">
        <v>2.7E-4</v>
      </c>
      <c r="Q77" s="217">
        <f>O77*_xlfn.XLOOKUP('Emission Factors'!O$16,GWPs!$B:$B,GWPs!$E:$E)</f>
        <v>5.7249999999999995E-2</v>
      </c>
      <c r="R77" s="224">
        <f>P77*_xlfn.XLOOKUP('Emission Factors'!P$16,GWPs!$B:$B,GWPs!$E:$E)</f>
        <v>8.0460000000000004E-2</v>
      </c>
      <c r="S77" s="228">
        <f>N77+(_xlfn.XLOOKUP($O$16,GWPs!$B:$B,GWPs!$E:$E)*O77)+(_xlfn.XLOOKUP($P$16,GWPs!$B:$B,GWPs!$E:$E)*P77)</f>
        <v>0.13771</v>
      </c>
      <c r="T77" s="384">
        <f>N77+(_xlfn.XLOOKUP($O$16,GWPs!$B:$B,GWPs!$F:$F)*O77)+(_xlfn.XLOOKUP($P$16,GWPs!$B:$B,GWPs!$F:$F)*P77)</f>
        <v>0.13567000000000001</v>
      </c>
      <c r="U77" s="227" t="s">
        <v>309</v>
      </c>
      <c r="V77" s="414" t="s">
        <v>1312</v>
      </c>
      <c r="W77" s="218" t="s">
        <v>1269</v>
      </c>
      <c r="Y77" s="67"/>
      <c r="Z77" s="67"/>
      <c r="AA77" s="67"/>
      <c r="AB77" s="67"/>
      <c r="AC77" s="67"/>
    </row>
    <row r="78" spans="2:29" ht="15" customHeight="1">
      <c r="B78" s="166"/>
      <c r="C78" s="173"/>
      <c r="D78" s="218">
        <v>1</v>
      </c>
      <c r="E78" s="218" t="s">
        <v>336</v>
      </c>
      <c r="F78" s="218" t="str">
        <f t="shared" si="5"/>
        <v>1 - Mobile Combustion</v>
      </c>
      <c r="G78" s="227" t="s">
        <v>307</v>
      </c>
      <c r="H78" s="229" t="s">
        <v>343</v>
      </c>
      <c r="I78" s="229" t="s">
        <v>344</v>
      </c>
      <c r="J78" s="227" t="s">
        <v>308</v>
      </c>
      <c r="K78" s="229" t="s">
        <v>346</v>
      </c>
      <c r="L78" s="227" t="str">
        <f t="shared" si="8"/>
        <v>Passenger cars</v>
      </c>
      <c r="M78" s="215" t="str">
        <f t="shared" si="6"/>
        <v>BiodieselPassenger cars</v>
      </c>
      <c r="N78" s="403">
        <v>4.2</v>
      </c>
      <c r="O78" s="404">
        <v>1.0000000000000001E-5</v>
      </c>
      <c r="P78" s="405">
        <v>2.2000000000000001E-3</v>
      </c>
      <c r="Q78" s="217">
        <f>O78*_xlfn.XLOOKUP('Emission Factors'!O$16,GWPs!$B:$B,GWPs!$E:$E)</f>
        <v>2.5000000000000001E-4</v>
      </c>
      <c r="R78" s="224">
        <f>P78*_xlfn.XLOOKUP('Emission Factors'!P$16,GWPs!$B:$B,GWPs!$E:$E)</f>
        <v>0.65560000000000007</v>
      </c>
      <c r="S78" s="228">
        <f>N78+(_xlfn.XLOOKUP($O$16,GWPs!$B:$B,GWPs!$E:$E)*O78)+(_xlfn.XLOOKUP($P$16,GWPs!$B:$B,GWPs!$E:$E)*P78)</f>
        <v>4.8558500000000002</v>
      </c>
      <c r="T78" s="384">
        <f>N78+(_xlfn.XLOOKUP($O$16,GWPs!$B:$B,GWPs!$F:$F)*O78)+(_xlfn.XLOOKUP($P$16,GWPs!$B:$B,GWPs!$F:$F)*P78)</f>
        <v>4.7832800000000004</v>
      </c>
      <c r="U78" s="227" t="s">
        <v>309</v>
      </c>
      <c r="V78" s="414" t="s">
        <v>1312</v>
      </c>
      <c r="W78" s="218" t="s">
        <v>1269</v>
      </c>
      <c r="Y78" s="67"/>
      <c r="Z78" s="67"/>
      <c r="AA78" s="67"/>
      <c r="AB78" s="67"/>
      <c r="AC78" s="67"/>
    </row>
    <row r="79" spans="2:29" ht="15" customHeight="1">
      <c r="B79" s="166"/>
      <c r="C79" s="173"/>
      <c r="D79" s="218">
        <v>1</v>
      </c>
      <c r="E79" s="218" t="s">
        <v>336</v>
      </c>
      <c r="F79" s="218" t="str">
        <f t="shared" si="5"/>
        <v>1 - Mobile Combustion</v>
      </c>
      <c r="G79" s="227" t="s">
        <v>307</v>
      </c>
      <c r="H79" s="229" t="s">
        <v>343</v>
      </c>
      <c r="I79" s="229" t="s">
        <v>344</v>
      </c>
      <c r="J79" s="227" t="s">
        <v>308</v>
      </c>
      <c r="K79" s="229" t="s">
        <v>203</v>
      </c>
      <c r="L79" s="227" t="str">
        <f t="shared" si="8"/>
        <v>Passenger cars</v>
      </c>
      <c r="M79" s="215" t="str">
        <f t="shared" si="6"/>
        <v>DieselPassenger cars</v>
      </c>
      <c r="N79" s="403">
        <v>74.099999999999994</v>
      </c>
      <c r="O79" s="404">
        <v>1.0000000000000001E-5</v>
      </c>
      <c r="P79" s="405">
        <v>2.2000000000000001E-3</v>
      </c>
      <c r="Q79" s="217">
        <f>O79*_xlfn.XLOOKUP('Emission Factors'!O$16,GWPs!$B:$B,GWPs!$E:$E)</f>
        <v>2.5000000000000001E-4</v>
      </c>
      <c r="R79" s="224">
        <f>P79*_xlfn.XLOOKUP('Emission Factors'!P$16,GWPs!$B:$B,GWPs!$E:$E)</f>
        <v>0.65560000000000007</v>
      </c>
      <c r="S79" s="228">
        <f>N79+(_xlfn.XLOOKUP($O$16,GWPs!$B:$B,GWPs!$E:$E)*O79)+(_xlfn.XLOOKUP($P$16,GWPs!$B:$B,GWPs!$E:$E)*P79)</f>
        <v>74.755849999999995</v>
      </c>
      <c r="T79" s="384">
        <f>N79+(_xlfn.XLOOKUP($O$16,GWPs!$B:$B,GWPs!$F:$F)*O79)+(_xlfn.XLOOKUP($P$16,GWPs!$B:$B,GWPs!$F:$F)*P79)</f>
        <v>74.683279999999996</v>
      </c>
      <c r="U79" s="227" t="s">
        <v>309</v>
      </c>
      <c r="V79" s="414" t="s">
        <v>1312</v>
      </c>
      <c r="W79" s="218" t="s">
        <v>1269</v>
      </c>
      <c r="Y79" s="67"/>
      <c r="Z79" s="67"/>
      <c r="AA79" s="67"/>
      <c r="AB79" s="67"/>
      <c r="AC79" s="67"/>
    </row>
    <row r="80" spans="2:29" ht="15" customHeight="1">
      <c r="B80" s="166"/>
      <c r="C80" s="173"/>
      <c r="D80" s="218">
        <v>1</v>
      </c>
      <c r="E80" s="218" t="s">
        <v>336</v>
      </c>
      <c r="F80" s="218" t="str">
        <f t="shared" si="5"/>
        <v>1 - Mobile Combustion</v>
      </c>
      <c r="G80" s="227" t="s">
        <v>307</v>
      </c>
      <c r="H80" s="229" t="s">
        <v>343</v>
      </c>
      <c r="I80" s="229" t="s">
        <v>344</v>
      </c>
      <c r="J80" s="227" t="s">
        <v>308</v>
      </c>
      <c r="K80" s="229" t="s">
        <v>207</v>
      </c>
      <c r="L80" s="227" t="str">
        <f t="shared" si="8"/>
        <v>Passenger cars</v>
      </c>
      <c r="M80" s="215" t="str">
        <f t="shared" si="6"/>
        <v>GasolinePassenger cars</v>
      </c>
      <c r="N80" s="403">
        <v>73</v>
      </c>
      <c r="O80" s="405">
        <v>2.2899999999999999E-3</v>
      </c>
      <c r="P80" s="405">
        <v>2.7E-4</v>
      </c>
      <c r="Q80" s="217">
        <f>O80*_xlfn.XLOOKUP('Emission Factors'!O$16,GWPs!$B:$B,GWPs!$E:$E)</f>
        <v>5.7249999999999995E-2</v>
      </c>
      <c r="R80" s="224">
        <f>P80*_xlfn.XLOOKUP('Emission Factors'!P$16,GWPs!$B:$B,GWPs!$E:$E)</f>
        <v>8.0460000000000004E-2</v>
      </c>
      <c r="S80" s="228">
        <f>N80+(_xlfn.XLOOKUP($O$16,GWPs!$B:$B,GWPs!$E:$E)*O80)+(_xlfn.XLOOKUP($P$16,GWPs!$B:$B,GWPs!$E:$E)*P80)</f>
        <v>73.137709999999998</v>
      </c>
      <c r="T80" s="384">
        <f>N80+(_xlfn.XLOOKUP($O$16,GWPs!$B:$B,GWPs!$F:$F)*O80)+(_xlfn.XLOOKUP($P$16,GWPs!$B:$B,GWPs!$F:$F)*P80)</f>
        <v>73.135670000000005</v>
      </c>
      <c r="U80" s="227" t="s">
        <v>309</v>
      </c>
      <c r="V80" s="414" t="s">
        <v>1312</v>
      </c>
      <c r="W80" s="218" t="s">
        <v>1269</v>
      </c>
      <c r="Y80" s="67"/>
      <c r="Z80" s="67"/>
      <c r="AA80" s="67"/>
      <c r="AB80" s="67"/>
      <c r="AC80" s="67"/>
    </row>
    <row r="81" spans="2:29" ht="15" customHeight="1">
      <c r="B81" s="166"/>
      <c r="C81" s="173"/>
      <c r="D81" s="218">
        <v>1</v>
      </c>
      <c r="E81" s="218" t="s">
        <v>336</v>
      </c>
      <c r="F81" s="218" t="str">
        <f t="shared" si="5"/>
        <v>1 - Mobile Combustion</v>
      </c>
      <c r="G81" s="227" t="s">
        <v>307</v>
      </c>
      <c r="H81" s="229" t="s">
        <v>202</v>
      </c>
      <c r="I81" s="229" t="s">
        <v>344</v>
      </c>
      <c r="J81" s="227" t="s">
        <v>308</v>
      </c>
      <c r="K81" s="229" t="s">
        <v>345</v>
      </c>
      <c r="L81" s="227" t="str">
        <f t="shared" si="8"/>
        <v>Light duty vehicles</v>
      </c>
      <c r="M81" s="215" t="str">
        <f t="shared" si="6"/>
        <v>Bio ethanolLight duty vehicles</v>
      </c>
      <c r="N81" s="403">
        <v>0</v>
      </c>
      <c r="O81" s="405">
        <v>2.9399999999999999E-3</v>
      </c>
      <c r="P81" s="405">
        <v>1E-3</v>
      </c>
      <c r="Q81" s="217">
        <f>O81*_xlfn.XLOOKUP('Emission Factors'!O$16,GWPs!$B:$B,GWPs!$E:$E)</f>
        <v>7.3499999999999996E-2</v>
      </c>
      <c r="R81" s="224">
        <f>P81*_xlfn.XLOOKUP('Emission Factors'!P$16,GWPs!$B:$B,GWPs!$E:$E)</f>
        <v>0.29799999999999999</v>
      </c>
      <c r="S81" s="228">
        <f>N81+(_xlfn.XLOOKUP($O$16,GWPs!$B:$B,GWPs!$E:$E)*O81)+(_xlfn.XLOOKUP($P$16,GWPs!$B:$B,GWPs!$E:$E)*P81)</f>
        <v>0.3715</v>
      </c>
      <c r="T81" s="384">
        <f>N81+(_xlfn.XLOOKUP($O$16,GWPs!$B:$B,GWPs!$F:$F)*O81)+(_xlfn.XLOOKUP($P$16,GWPs!$B:$B,GWPs!$F:$F)*P81)</f>
        <v>0.34732000000000002</v>
      </c>
      <c r="U81" s="227" t="s">
        <v>309</v>
      </c>
      <c r="V81" s="414" t="s">
        <v>1312</v>
      </c>
      <c r="W81" s="218" t="s">
        <v>1269</v>
      </c>
      <c r="Y81" s="67"/>
      <c r="Z81" s="67"/>
      <c r="AA81" s="67"/>
      <c r="AB81" s="67"/>
      <c r="AC81" s="67"/>
    </row>
    <row r="82" spans="2:29" ht="15" customHeight="1">
      <c r="B82" s="166"/>
      <c r="C82" s="173"/>
      <c r="D82" s="218">
        <v>1</v>
      </c>
      <c r="E82" s="218" t="s">
        <v>336</v>
      </c>
      <c r="F82" s="218" t="str">
        <f t="shared" si="5"/>
        <v>1 - Mobile Combustion</v>
      </c>
      <c r="G82" s="227" t="s">
        <v>307</v>
      </c>
      <c r="H82" s="229" t="s">
        <v>202</v>
      </c>
      <c r="I82" s="229" t="s">
        <v>344</v>
      </c>
      <c r="J82" s="227" t="s">
        <v>308</v>
      </c>
      <c r="K82" s="229" t="s">
        <v>346</v>
      </c>
      <c r="L82" s="227" t="str">
        <f t="shared" si="8"/>
        <v>Light duty vehicles</v>
      </c>
      <c r="M82" s="215" t="str">
        <f t="shared" si="6"/>
        <v>BiodieselLight duty vehicles</v>
      </c>
      <c r="N82" s="403">
        <v>4.2</v>
      </c>
      <c r="O82" s="405">
        <v>3.0000000000000001E-5</v>
      </c>
      <c r="P82" s="405">
        <v>1.58E-3</v>
      </c>
      <c r="Q82" s="217">
        <f>O82*_xlfn.XLOOKUP('Emission Factors'!O$16,GWPs!$B:$B,GWPs!$E:$E)</f>
        <v>7.5000000000000002E-4</v>
      </c>
      <c r="R82" s="224">
        <f>P82*_xlfn.XLOOKUP('Emission Factors'!P$16,GWPs!$B:$B,GWPs!$E:$E)</f>
        <v>0.47083999999999998</v>
      </c>
      <c r="S82" s="228">
        <f>N82+(_xlfn.XLOOKUP($O$16,GWPs!$B:$B,GWPs!$E:$E)*O82)+(_xlfn.XLOOKUP($P$16,GWPs!$B:$B,GWPs!$E:$E)*P82)</f>
        <v>4.6715900000000001</v>
      </c>
      <c r="T82" s="384">
        <f>N82+(_xlfn.XLOOKUP($O$16,GWPs!$B:$B,GWPs!$F:$F)*O82)+(_xlfn.XLOOKUP($P$16,GWPs!$B:$B,GWPs!$F:$F)*P82)</f>
        <v>4.6195400000000006</v>
      </c>
      <c r="U82" s="227" t="s">
        <v>309</v>
      </c>
      <c r="V82" s="414" t="s">
        <v>1312</v>
      </c>
      <c r="W82" s="218" t="s">
        <v>1269</v>
      </c>
      <c r="Y82" s="67"/>
      <c r="Z82" s="67"/>
      <c r="AA82" s="67"/>
      <c r="AB82" s="67"/>
      <c r="AC82" s="67"/>
    </row>
    <row r="83" spans="2:29" ht="15" customHeight="1">
      <c r="B83" s="166"/>
      <c r="C83" s="173"/>
      <c r="D83" s="218">
        <v>1</v>
      </c>
      <c r="E83" s="218" t="s">
        <v>336</v>
      </c>
      <c r="F83" s="218" t="str">
        <f t="shared" si="5"/>
        <v>1 - Mobile Combustion</v>
      </c>
      <c r="G83" s="227" t="s">
        <v>307</v>
      </c>
      <c r="H83" s="229" t="s">
        <v>202</v>
      </c>
      <c r="I83" s="229" t="s">
        <v>344</v>
      </c>
      <c r="J83" s="227" t="s">
        <v>308</v>
      </c>
      <c r="K83" s="229" t="s">
        <v>203</v>
      </c>
      <c r="L83" s="227" t="str">
        <f t="shared" si="8"/>
        <v>Light duty vehicles</v>
      </c>
      <c r="M83" s="215" t="str">
        <f t="shared" si="6"/>
        <v>DieselLight duty vehicles</v>
      </c>
      <c r="N83" s="403">
        <v>74.099999999999994</v>
      </c>
      <c r="O83" s="405">
        <v>3.0000000000000001E-5</v>
      </c>
      <c r="P83" s="405">
        <v>1.58E-3</v>
      </c>
      <c r="Q83" s="217">
        <f>O83*_xlfn.XLOOKUP('Emission Factors'!O$16,GWPs!$B:$B,GWPs!$E:$E)</f>
        <v>7.5000000000000002E-4</v>
      </c>
      <c r="R83" s="224">
        <f>P83*_xlfn.XLOOKUP('Emission Factors'!P$16,GWPs!$B:$B,GWPs!$E:$E)</f>
        <v>0.47083999999999998</v>
      </c>
      <c r="S83" s="228">
        <f>N83+(_xlfn.XLOOKUP($O$16,GWPs!$B:$B,GWPs!$E:$E)*O83)+(_xlfn.XLOOKUP($P$16,GWPs!$B:$B,GWPs!$E:$E)*P83)</f>
        <v>74.571589999999986</v>
      </c>
      <c r="T83" s="384">
        <f>N83+(_xlfn.XLOOKUP($O$16,GWPs!$B:$B,GWPs!$F:$F)*O83)+(_xlfn.XLOOKUP($P$16,GWPs!$B:$B,GWPs!$F:$F)*P83)</f>
        <v>74.519539999999992</v>
      </c>
      <c r="U83" s="227" t="s">
        <v>309</v>
      </c>
      <c r="V83" s="414" t="s">
        <v>1312</v>
      </c>
      <c r="W83" s="218" t="s">
        <v>1269</v>
      </c>
      <c r="Y83" s="67"/>
      <c r="Z83" s="67"/>
      <c r="AA83" s="67"/>
      <c r="AB83" s="67"/>
      <c r="AC83" s="67"/>
    </row>
    <row r="84" spans="2:29" ht="15" customHeight="1">
      <c r="B84" s="166"/>
      <c r="C84" s="173"/>
      <c r="D84" s="218">
        <v>1</v>
      </c>
      <c r="E84" s="218" t="s">
        <v>336</v>
      </c>
      <c r="F84" s="218" t="str">
        <f t="shared" si="5"/>
        <v>1 - Mobile Combustion</v>
      </c>
      <c r="G84" s="227" t="s">
        <v>307</v>
      </c>
      <c r="H84" s="229" t="s">
        <v>202</v>
      </c>
      <c r="I84" s="229" t="s">
        <v>344</v>
      </c>
      <c r="J84" s="227" t="s">
        <v>308</v>
      </c>
      <c r="K84" s="229" t="s">
        <v>207</v>
      </c>
      <c r="L84" s="227" t="str">
        <f t="shared" si="8"/>
        <v>Light duty vehicles</v>
      </c>
      <c r="M84" s="215" t="str">
        <f t="shared" si="6"/>
        <v>GasolineLight duty vehicles</v>
      </c>
      <c r="N84" s="403">
        <v>73</v>
      </c>
      <c r="O84" s="405">
        <v>2.9399999999999999E-3</v>
      </c>
      <c r="P84" s="405">
        <v>1E-3</v>
      </c>
      <c r="Q84" s="217">
        <f>O84*_xlfn.XLOOKUP('Emission Factors'!O$16,GWPs!$B:$B,GWPs!$E:$E)</f>
        <v>7.3499999999999996E-2</v>
      </c>
      <c r="R84" s="224">
        <f>P84*_xlfn.XLOOKUP('Emission Factors'!P$16,GWPs!$B:$B,GWPs!$E:$E)</f>
        <v>0.29799999999999999</v>
      </c>
      <c r="S84" s="228">
        <f>N84+(_xlfn.XLOOKUP($O$16,GWPs!$B:$B,GWPs!$E:$E)*O84)+(_xlfn.XLOOKUP($P$16,GWPs!$B:$B,GWPs!$E:$E)*P84)</f>
        <v>73.371499999999997</v>
      </c>
      <c r="T84" s="384">
        <f>N84+(_xlfn.XLOOKUP($O$16,GWPs!$B:$B,GWPs!$F:$F)*O84)+(_xlfn.XLOOKUP($P$16,GWPs!$B:$B,GWPs!$F:$F)*P84)</f>
        <v>73.347319999999996</v>
      </c>
      <c r="U84" s="227" t="s">
        <v>309</v>
      </c>
      <c r="V84" s="414" t="s">
        <v>1312</v>
      </c>
      <c r="W84" s="218" t="s">
        <v>1269</v>
      </c>
      <c r="Y84" s="67"/>
      <c r="Z84" s="67"/>
      <c r="AA84" s="67"/>
      <c r="AB84" s="67"/>
      <c r="AC84" s="67"/>
    </row>
    <row r="85" spans="2:29" ht="15" customHeight="1">
      <c r="B85" s="166"/>
      <c r="C85" s="173"/>
      <c r="D85" s="218">
        <v>1</v>
      </c>
      <c r="E85" s="218" t="s">
        <v>336</v>
      </c>
      <c r="F85" s="218" t="str">
        <f t="shared" si="5"/>
        <v>1 - Mobile Combustion</v>
      </c>
      <c r="G85" s="227" t="s">
        <v>307</v>
      </c>
      <c r="H85" s="229" t="s">
        <v>206</v>
      </c>
      <c r="I85" s="229" t="s">
        <v>344</v>
      </c>
      <c r="J85" s="227" t="s">
        <v>308</v>
      </c>
      <c r="K85" s="229" t="s">
        <v>345</v>
      </c>
      <c r="L85" s="227" t="str">
        <f t="shared" si="8"/>
        <v>Heavy duty vehicles</v>
      </c>
      <c r="M85" s="215" t="str">
        <f t="shared" si="6"/>
        <v>Bio ethanolHeavy duty vehicles</v>
      </c>
      <c r="N85" s="403">
        <v>0</v>
      </c>
      <c r="O85" s="405">
        <v>1.7340000000000001E-2</v>
      </c>
      <c r="P85" s="405">
        <v>9.5E-4</v>
      </c>
      <c r="Q85" s="217">
        <f>O85*_xlfn.XLOOKUP('Emission Factors'!O$16,GWPs!$B:$B,GWPs!$E:$E)</f>
        <v>0.43350000000000005</v>
      </c>
      <c r="R85" s="224">
        <f>P85*_xlfn.XLOOKUP('Emission Factors'!P$16,GWPs!$B:$B,GWPs!$E:$E)</f>
        <v>0.28310000000000002</v>
      </c>
      <c r="S85" s="228">
        <f>N85+(_xlfn.XLOOKUP($O$16,GWPs!$B:$B,GWPs!$E:$E)*O85)+(_xlfn.XLOOKUP($P$16,GWPs!$B:$B,GWPs!$E:$E)*P85)</f>
        <v>0.71660000000000013</v>
      </c>
      <c r="T85" s="384">
        <f>N85+(_xlfn.XLOOKUP($O$16,GWPs!$B:$B,GWPs!$F:$F)*O85)+(_xlfn.XLOOKUP($P$16,GWPs!$B:$B,GWPs!$F:$F)*P85)</f>
        <v>0.73727000000000009</v>
      </c>
      <c r="U85" s="227" t="s">
        <v>309</v>
      </c>
      <c r="V85" s="414" t="s">
        <v>1312</v>
      </c>
      <c r="W85" s="218" t="s">
        <v>1269</v>
      </c>
      <c r="Y85" s="67"/>
      <c r="Z85" s="67"/>
      <c r="AA85" s="67"/>
      <c r="AB85" s="67"/>
      <c r="AC85" s="67"/>
    </row>
    <row r="86" spans="2:29" ht="15" customHeight="1">
      <c r="B86" s="166"/>
      <c r="C86" s="173"/>
      <c r="D86" s="218">
        <v>1</v>
      </c>
      <c r="E86" s="218" t="s">
        <v>336</v>
      </c>
      <c r="F86" s="218" t="str">
        <f t="shared" si="5"/>
        <v>1 - Mobile Combustion</v>
      </c>
      <c r="G86" s="227" t="s">
        <v>307</v>
      </c>
      <c r="H86" s="229" t="s">
        <v>206</v>
      </c>
      <c r="I86" s="229" t="s">
        <v>344</v>
      </c>
      <c r="J86" s="227" t="s">
        <v>308</v>
      </c>
      <c r="K86" s="229" t="s">
        <v>346</v>
      </c>
      <c r="L86" s="227" t="str">
        <f t="shared" si="8"/>
        <v>Heavy duty vehicles</v>
      </c>
      <c r="M86" s="215" t="str">
        <f t="shared" si="6"/>
        <v>BiodieselHeavy duty vehicles</v>
      </c>
      <c r="N86" s="403">
        <v>4.2</v>
      </c>
      <c r="O86" s="405">
        <v>6.4000000000000005E-4</v>
      </c>
      <c r="P86" s="405">
        <v>5.2199999999999998E-3</v>
      </c>
      <c r="Q86" s="217">
        <f>O86*_xlfn.XLOOKUP('Emission Factors'!O$16,GWPs!$B:$B,GWPs!$E:$E)</f>
        <v>1.6E-2</v>
      </c>
      <c r="R86" s="224">
        <f>P86*_xlfn.XLOOKUP('Emission Factors'!P$16,GWPs!$B:$B,GWPs!$E:$E)</f>
        <v>1.5555600000000001</v>
      </c>
      <c r="S86" s="228">
        <f>N86+(_xlfn.XLOOKUP($O$16,GWPs!$B:$B,GWPs!$E:$E)*O86)+(_xlfn.XLOOKUP($P$16,GWPs!$B:$B,GWPs!$E:$E)*P86)</f>
        <v>5.77156</v>
      </c>
      <c r="T86" s="384">
        <f>N86+(_xlfn.XLOOKUP($O$16,GWPs!$B:$B,GWPs!$F:$F)*O86)+(_xlfn.XLOOKUP($P$16,GWPs!$B:$B,GWPs!$F:$F)*P86)</f>
        <v>5.6012200000000005</v>
      </c>
      <c r="U86" s="227" t="s">
        <v>309</v>
      </c>
      <c r="V86" s="414" t="s">
        <v>1312</v>
      </c>
      <c r="W86" s="218" t="s">
        <v>1269</v>
      </c>
      <c r="Y86" s="67"/>
      <c r="Z86" s="67"/>
      <c r="AA86" s="67"/>
      <c r="AB86" s="67"/>
      <c r="AC86" s="67"/>
    </row>
    <row r="87" spans="2:29" ht="15" customHeight="1">
      <c r="B87" s="166"/>
      <c r="C87" s="173"/>
      <c r="D87" s="218">
        <v>1</v>
      </c>
      <c r="E87" s="218" t="s">
        <v>336</v>
      </c>
      <c r="F87" s="218" t="str">
        <f t="shared" si="5"/>
        <v>1 - Mobile Combustion</v>
      </c>
      <c r="G87" s="227" t="s">
        <v>307</v>
      </c>
      <c r="H87" s="229" t="s">
        <v>206</v>
      </c>
      <c r="I87" s="229" t="s">
        <v>344</v>
      </c>
      <c r="J87" s="227" t="s">
        <v>308</v>
      </c>
      <c r="K87" s="229" t="s">
        <v>203</v>
      </c>
      <c r="L87" s="227" t="str">
        <f t="shared" si="8"/>
        <v>Heavy duty vehicles</v>
      </c>
      <c r="M87" s="215" t="str">
        <f t="shared" si="6"/>
        <v>DieselHeavy duty vehicles</v>
      </c>
      <c r="N87" s="403">
        <v>74.099999999999994</v>
      </c>
      <c r="O87" s="405">
        <v>6.4000000000000005E-4</v>
      </c>
      <c r="P87" s="405">
        <v>5.2199999999999998E-3</v>
      </c>
      <c r="Q87" s="217">
        <f>O87*_xlfn.XLOOKUP('Emission Factors'!O$16,GWPs!$B:$B,GWPs!$E:$E)</f>
        <v>1.6E-2</v>
      </c>
      <c r="R87" s="224">
        <f>P87*_xlfn.XLOOKUP('Emission Factors'!P$16,GWPs!$B:$B,GWPs!$E:$E)</f>
        <v>1.5555600000000001</v>
      </c>
      <c r="S87" s="228">
        <f>N87+(_xlfn.XLOOKUP($O$16,GWPs!$B:$B,GWPs!$E:$E)*O87)+(_xlfn.XLOOKUP($P$16,GWPs!$B:$B,GWPs!$E:$E)*P87)</f>
        <v>75.671559999999999</v>
      </c>
      <c r="T87" s="384">
        <f>N87+(_xlfn.XLOOKUP($O$16,GWPs!$B:$B,GWPs!$F:$F)*O87)+(_xlfn.XLOOKUP($P$16,GWPs!$B:$B,GWPs!$F:$F)*P87)</f>
        <v>75.501220000000004</v>
      </c>
      <c r="U87" s="227" t="s">
        <v>309</v>
      </c>
      <c r="V87" s="414" t="s">
        <v>1312</v>
      </c>
      <c r="W87" s="218" t="s">
        <v>1269</v>
      </c>
      <c r="Y87" s="67"/>
      <c r="Z87" s="67"/>
      <c r="AA87" s="67"/>
      <c r="AB87" s="67"/>
      <c r="AC87" s="67"/>
    </row>
    <row r="88" spans="2:29" ht="15" customHeight="1">
      <c r="B88" s="166"/>
      <c r="C88" s="173"/>
      <c r="D88" s="218">
        <v>1</v>
      </c>
      <c r="E88" s="218" t="s">
        <v>336</v>
      </c>
      <c r="F88" s="218" t="str">
        <f t="shared" si="5"/>
        <v>1 - Mobile Combustion</v>
      </c>
      <c r="G88" s="227" t="s">
        <v>307</v>
      </c>
      <c r="H88" s="229" t="s">
        <v>206</v>
      </c>
      <c r="I88" s="229" t="s">
        <v>344</v>
      </c>
      <c r="J88" s="227" t="s">
        <v>308</v>
      </c>
      <c r="K88" s="229" t="s">
        <v>207</v>
      </c>
      <c r="L88" s="227" t="str">
        <f t="shared" si="8"/>
        <v>Heavy duty vehicles</v>
      </c>
      <c r="M88" s="215" t="str">
        <f t="shared" si="6"/>
        <v>GasolineHeavy duty vehicles</v>
      </c>
      <c r="N88" s="403">
        <v>73</v>
      </c>
      <c r="O88" s="405">
        <v>1.7340000000000001E-2</v>
      </c>
      <c r="P88" s="405">
        <v>9.5E-4</v>
      </c>
      <c r="Q88" s="217">
        <f>O88*_xlfn.XLOOKUP('Emission Factors'!O$16,GWPs!$B:$B,GWPs!$E:$E)</f>
        <v>0.43350000000000005</v>
      </c>
      <c r="R88" s="224">
        <f>P88*_xlfn.XLOOKUP('Emission Factors'!P$16,GWPs!$B:$B,GWPs!$E:$E)</f>
        <v>0.28310000000000002</v>
      </c>
      <c r="S88" s="228">
        <f>N88+(_xlfn.XLOOKUP($O$16,GWPs!$B:$B,GWPs!$E:$E)*O88)+(_xlfn.XLOOKUP($P$16,GWPs!$B:$B,GWPs!$E:$E)*P88)</f>
        <v>73.7166</v>
      </c>
      <c r="T88" s="384">
        <f>N88+(_xlfn.XLOOKUP($O$16,GWPs!$B:$B,GWPs!$F:$F)*O88)+(_xlfn.XLOOKUP($P$16,GWPs!$B:$B,GWPs!$F:$F)*P88)</f>
        <v>73.737269999999995</v>
      </c>
      <c r="U88" s="227" t="s">
        <v>309</v>
      </c>
      <c r="V88" s="414" t="s">
        <v>1312</v>
      </c>
      <c r="W88" s="218" t="s">
        <v>1269</v>
      </c>
      <c r="Y88" s="67"/>
      <c r="Z88" s="67"/>
      <c r="AA88" s="67"/>
      <c r="AB88" s="67"/>
      <c r="AC88" s="67"/>
    </row>
    <row r="89" spans="2:29" ht="15" customHeight="1">
      <c r="B89" s="166"/>
      <c r="C89" s="173"/>
      <c r="D89" s="218">
        <v>1</v>
      </c>
      <c r="E89" s="218" t="s">
        <v>336</v>
      </c>
      <c r="F89" s="218" t="str">
        <f t="shared" si="5"/>
        <v>1 - Mobile Combustion</v>
      </c>
      <c r="G89" s="227" t="s">
        <v>307</v>
      </c>
      <c r="H89" s="229" t="s">
        <v>347</v>
      </c>
      <c r="I89" s="229" t="s">
        <v>344</v>
      </c>
      <c r="J89" s="227" t="s">
        <v>308</v>
      </c>
      <c r="K89" s="229" t="s">
        <v>345</v>
      </c>
      <c r="L89" s="227" t="str">
        <f t="shared" si="8"/>
        <v>Motorcycles</v>
      </c>
      <c r="M89" s="215" t="str">
        <f t="shared" si="6"/>
        <v>Bio ethanolMotorcycles</v>
      </c>
      <c r="N89" s="403">
        <v>0</v>
      </c>
      <c r="O89" s="405">
        <v>7.5240000000000001E-2</v>
      </c>
      <c r="P89" s="405">
        <v>1.31E-3</v>
      </c>
      <c r="Q89" s="217">
        <f>O89*_xlfn.XLOOKUP('Emission Factors'!O$16,GWPs!$B:$B,GWPs!$E:$E)</f>
        <v>1.881</v>
      </c>
      <c r="R89" s="224">
        <f>P89*_xlfn.XLOOKUP('Emission Factors'!P$16,GWPs!$B:$B,GWPs!$E:$E)</f>
        <v>0.39038</v>
      </c>
      <c r="S89" s="228">
        <f>N89+(_xlfn.XLOOKUP($O$16,GWPs!$B:$B,GWPs!$E:$E)*O89)+(_xlfn.XLOOKUP($P$16,GWPs!$B:$B,GWPs!$E:$E)*P89)</f>
        <v>2.2713800000000002</v>
      </c>
      <c r="T89" s="384">
        <f>N89+(_xlfn.XLOOKUP($O$16,GWPs!$B:$B,GWPs!$F:$F)*O89)+(_xlfn.XLOOKUP($P$16,GWPs!$B:$B,GWPs!$F:$F)*P89)</f>
        <v>2.4538700000000002</v>
      </c>
      <c r="U89" s="227" t="s">
        <v>309</v>
      </c>
      <c r="V89" s="414" t="s">
        <v>1312</v>
      </c>
      <c r="W89" s="218" t="s">
        <v>1269</v>
      </c>
      <c r="Y89" s="67"/>
      <c r="Z89" s="67"/>
      <c r="AA89" s="67"/>
      <c r="AB89" s="67"/>
      <c r="AC89" s="67"/>
    </row>
    <row r="90" spans="2:29" hidden="1">
      <c r="B90" s="166"/>
      <c r="C90" s="173"/>
      <c r="D90" s="218">
        <v>1</v>
      </c>
      <c r="E90" s="218" t="s">
        <v>336</v>
      </c>
      <c r="F90" s="218" t="str">
        <f t="shared" si="5"/>
        <v>1 - Mobile Combustion</v>
      </c>
      <c r="G90" s="227" t="s">
        <v>307</v>
      </c>
      <c r="H90" s="229" t="s">
        <v>347</v>
      </c>
      <c r="I90" s="229" t="s">
        <v>344</v>
      </c>
      <c r="J90" s="227" t="s">
        <v>308</v>
      </c>
      <c r="K90" s="229" t="s">
        <v>207</v>
      </c>
      <c r="L90" s="227" t="str">
        <f t="shared" si="8"/>
        <v>Motorcycles</v>
      </c>
      <c r="M90" s="215" t="str">
        <f t="shared" si="6"/>
        <v>GasolineMotorcycles</v>
      </c>
      <c r="N90" s="403">
        <v>73</v>
      </c>
      <c r="O90" s="405">
        <v>7.5240000000000001E-2</v>
      </c>
      <c r="P90" s="405">
        <v>1.31E-3</v>
      </c>
      <c r="Q90" s="217">
        <f>O90*_xlfn.XLOOKUP('Emission Factors'!O$16,GWPs!$B:$B,GWPs!$E:$E)</f>
        <v>1.881</v>
      </c>
      <c r="R90" s="224">
        <f>P90*_xlfn.XLOOKUP('Emission Factors'!P$16,GWPs!$B:$B,GWPs!$E:$E)</f>
        <v>0.39038</v>
      </c>
      <c r="S90" s="228">
        <f>N90+(_xlfn.XLOOKUP($O$16,GWPs!$B:$B,GWPs!$E:$E)*O90)+(_xlfn.XLOOKUP($P$16,GWPs!$B:$B,GWPs!$E:$E)*P90)</f>
        <v>75.271379999999994</v>
      </c>
      <c r="T90" s="384">
        <f>N90+(_xlfn.XLOOKUP($O$16,GWPs!$B:$B,GWPs!$F:$F)*O90)+(_xlfn.XLOOKUP($P$16,GWPs!$B:$B,GWPs!$F:$F)*P90)</f>
        <v>75.453869999999995</v>
      </c>
      <c r="U90" s="227" t="s">
        <v>309</v>
      </c>
      <c r="V90" s="414" t="s">
        <v>1312</v>
      </c>
      <c r="W90" s="218" t="s">
        <v>1269</v>
      </c>
      <c r="Y90" s="67"/>
      <c r="Z90" s="67"/>
      <c r="AA90" s="67"/>
      <c r="AB90" s="67"/>
      <c r="AC90" s="67"/>
    </row>
    <row r="91" spans="2:29" hidden="1">
      <c r="B91" s="166"/>
      <c r="C91" s="173"/>
      <c r="D91" s="218">
        <v>1</v>
      </c>
      <c r="E91" s="218" t="s">
        <v>336</v>
      </c>
      <c r="F91" s="218" t="str">
        <f t="shared" si="5"/>
        <v>1 - Mobile Combustion</v>
      </c>
      <c r="G91" s="227" t="s">
        <v>307</v>
      </c>
      <c r="H91" s="229" t="s">
        <v>325</v>
      </c>
      <c r="I91" s="229"/>
      <c r="J91" s="229" t="s">
        <v>308</v>
      </c>
      <c r="K91" s="229" t="s">
        <v>345</v>
      </c>
      <c r="L91" s="230" t="s">
        <v>325</v>
      </c>
      <c r="M91" s="215" t="str">
        <f t="shared" si="6"/>
        <v>Bio ethanolAgriculture</v>
      </c>
      <c r="N91" s="403">
        <v>0</v>
      </c>
      <c r="O91" s="404">
        <v>0.11283</v>
      </c>
      <c r="P91" s="404">
        <v>1.5499999999999999E-3</v>
      </c>
      <c r="Q91" s="217">
        <f>O91*_xlfn.XLOOKUP('Emission Factors'!O$16,GWPs!$B:$B,GWPs!$E:$E)</f>
        <v>2.8207499999999999</v>
      </c>
      <c r="R91" s="224">
        <f>P91*_xlfn.XLOOKUP('Emission Factors'!P$16,GWPs!$B:$B,GWPs!$E:$E)</f>
        <v>0.46189999999999998</v>
      </c>
      <c r="S91" s="228">
        <f>N91+(_xlfn.XLOOKUP($O$16,GWPs!$B:$B,GWPs!$E:$E)*O91)+(_xlfn.XLOOKUP($P$16,GWPs!$B:$B,GWPs!$E:$E)*P91)</f>
        <v>3.2826499999999998</v>
      </c>
      <c r="T91" s="384">
        <f>N91+(_xlfn.XLOOKUP($O$16,GWPs!$B:$B,GWPs!$F:$F)*O91)+(_xlfn.XLOOKUP($P$16,GWPs!$B:$B,GWPs!$F:$F)*P91)</f>
        <v>3.5699900000000002</v>
      </c>
      <c r="U91" s="227" t="s">
        <v>309</v>
      </c>
      <c r="V91" s="414"/>
      <c r="W91" s="218" t="s">
        <v>1269</v>
      </c>
      <c r="Y91" s="67"/>
      <c r="Z91" s="67"/>
      <c r="AA91" s="67"/>
      <c r="AB91" s="67"/>
      <c r="AC91" s="67"/>
    </row>
    <row r="92" spans="2:29" hidden="1">
      <c r="B92" s="166"/>
      <c r="C92" s="173"/>
      <c r="D92" s="218">
        <v>1</v>
      </c>
      <c r="E92" s="218" t="s">
        <v>336</v>
      </c>
      <c r="F92" s="218" t="str">
        <f t="shared" si="5"/>
        <v>1 - Mobile Combustion</v>
      </c>
      <c r="G92" s="227" t="s">
        <v>307</v>
      </c>
      <c r="H92" s="229" t="s">
        <v>325</v>
      </c>
      <c r="I92" s="229"/>
      <c r="J92" s="229" t="s">
        <v>308</v>
      </c>
      <c r="K92" s="229" t="s">
        <v>203</v>
      </c>
      <c r="L92" s="230" t="s">
        <v>325</v>
      </c>
      <c r="M92" s="215" t="str">
        <f t="shared" si="6"/>
        <v>DieselAgriculture</v>
      </c>
      <c r="N92" s="403">
        <v>74.099999999999994</v>
      </c>
      <c r="O92" s="404">
        <v>9.5999999999999992E-4</v>
      </c>
      <c r="P92" s="404">
        <v>3.5400000000000002E-3</v>
      </c>
      <c r="Q92" s="217">
        <f>O92*_xlfn.XLOOKUP('Emission Factors'!O$16,GWPs!$B:$B,GWPs!$E:$E)</f>
        <v>2.3999999999999997E-2</v>
      </c>
      <c r="R92" s="224">
        <f>P92*_xlfn.XLOOKUP('Emission Factors'!P$16,GWPs!$B:$B,GWPs!$E:$E)</f>
        <v>1.0549200000000001</v>
      </c>
      <c r="S92" s="228">
        <f>N92+(_xlfn.XLOOKUP($O$16,GWPs!$B:$B,GWPs!$E:$E)*O92)+(_xlfn.XLOOKUP($P$16,GWPs!$B:$B,GWPs!$E:$E)*P92)</f>
        <v>75.178919999999991</v>
      </c>
      <c r="T92" s="384">
        <f>N92+(_xlfn.XLOOKUP($O$16,GWPs!$B:$B,GWPs!$F:$F)*O92)+(_xlfn.XLOOKUP($P$16,GWPs!$B:$B,GWPs!$F:$F)*P92)</f>
        <v>75.064980000000006</v>
      </c>
      <c r="U92" s="227" t="s">
        <v>309</v>
      </c>
      <c r="V92" s="414"/>
      <c r="W92" s="218" t="s">
        <v>1269</v>
      </c>
      <c r="Y92" s="67"/>
      <c r="Z92" s="67"/>
      <c r="AA92" s="67"/>
      <c r="AB92" s="67"/>
      <c r="AC92" s="67"/>
    </row>
    <row r="93" spans="2:29" hidden="1">
      <c r="B93" s="166"/>
      <c r="C93" s="173"/>
      <c r="D93" s="218">
        <v>1</v>
      </c>
      <c r="E93" s="218" t="s">
        <v>336</v>
      </c>
      <c r="F93" s="218" t="str">
        <f t="shared" si="5"/>
        <v>1 - Mobile Combustion</v>
      </c>
      <c r="G93" s="227" t="s">
        <v>307</v>
      </c>
      <c r="H93" s="229" t="s">
        <v>325</v>
      </c>
      <c r="I93" s="229"/>
      <c r="J93" s="229" t="s">
        <v>308</v>
      </c>
      <c r="K93" s="229" t="s">
        <v>207</v>
      </c>
      <c r="L93" s="230" t="s">
        <v>325</v>
      </c>
      <c r="M93" s="215" t="str">
        <f t="shared" si="6"/>
        <v>GasolineAgriculture</v>
      </c>
      <c r="N93" s="403">
        <v>73</v>
      </c>
      <c r="O93" s="404">
        <v>0.11283</v>
      </c>
      <c r="P93" s="404">
        <v>1.5499999999999999E-3</v>
      </c>
      <c r="Q93" s="217">
        <f>O93*_xlfn.XLOOKUP('Emission Factors'!O$16,GWPs!$B:$B,GWPs!$E:$E)</f>
        <v>2.8207499999999999</v>
      </c>
      <c r="R93" s="224">
        <f>P93*_xlfn.XLOOKUP('Emission Factors'!P$16,GWPs!$B:$B,GWPs!$E:$E)</f>
        <v>0.46189999999999998</v>
      </c>
      <c r="S93" s="228">
        <f>N93+(_xlfn.XLOOKUP($O$16,GWPs!$B:$B,GWPs!$E:$E)*O93)+(_xlfn.XLOOKUP($P$16,GWPs!$B:$B,GWPs!$E:$E)*P93)</f>
        <v>76.282650000000004</v>
      </c>
      <c r="T93" s="384">
        <f>N93+(_xlfn.XLOOKUP($O$16,GWPs!$B:$B,GWPs!$F:$F)*O93)+(_xlfn.XLOOKUP($P$16,GWPs!$B:$B,GWPs!$F:$F)*P93)</f>
        <v>76.56998999999999</v>
      </c>
      <c r="U93" s="227" t="s">
        <v>309</v>
      </c>
      <c r="V93" s="414"/>
      <c r="W93" s="218" t="s">
        <v>1269</v>
      </c>
      <c r="Y93" s="67"/>
      <c r="Z93" s="67"/>
      <c r="AA93" s="67"/>
      <c r="AB93" s="67"/>
      <c r="AC93" s="67"/>
    </row>
    <row r="94" spans="2:29" hidden="1">
      <c r="B94" s="166"/>
      <c r="C94" s="173"/>
      <c r="D94" s="218">
        <v>1</v>
      </c>
      <c r="E94" s="218" t="s">
        <v>336</v>
      </c>
      <c r="F94" s="218" t="str">
        <f t="shared" si="5"/>
        <v>1 - Mobile Combustion</v>
      </c>
      <c r="G94" s="227" t="s">
        <v>307</v>
      </c>
      <c r="H94" s="229" t="s">
        <v>348</v>
      </c>
      <c r="I94" s="229"/>
      <c r="J94" s="229" t="s">
        <v>308</v>
      </c>
      <c r="K94" s="229" t="s">
        <v>345</v>
      </c>
      <c r="L94" s="230" t="s">
        <v>348</v>
      </c>
      <c r="M94" s="215" t="str">
        <f t="shared" si="6"/>
        <v>Bio ethanolForestry</v>
      </c>
      <c r="N94" s="403">
        <v>0</v>
      </c>
      <c r="O94" s="404">
        <v>0.24084</v>
      </c>
      <c r="P94" s="404">
        <v>4.6000000000000001E-4</v>
      </c>
      <c r="Q94" s="217">
        <f>O94*_xlfn.XLOOKUP('Emission Factors'!O$16,GWPs!$B:$B,GWPs!$E:$E)</f>
        <v>6.0209999999999999</v>
      </c>
      <c r="R94" s="224">
        <f>P94*_xlfn.XLOOKUP('Emission Factors'!P$16,GWPs!$B:$B,GWPs!$E:$E)</f>
        <v>0.13708000000000001</v>
      </c>
      <c r="S94" s="228">
        <f>N94+(_xlfn.XLOOKUP($O$16,GWPs!$B:$B,GWPs!$E:$E)*O94)+(_xlfn.XLOOKUP($P$16,GWPs!$B:$B,GWPs!$E:$E)*P94)</f>
        <v>6.15808</v>
      </c>
      <c r="T94" s="384">
        <f>N94+(_xlfn.XLOOKUP($O$16,GWPs!$B:$B,GWPs!$F:$F)*O94)+(_xlfn.XLOOKUP($P$16,GWPs!$B:$B,GWPs!$F:$F)*P94)</f>
        <v>6.8654200000000003</v>
      </c>
      <c r="U94" s="227" t="s">
        <v>309</v>
      </c>
      <c r="V94" s="414"/>
      <c r="W94" s="218" t="s">
        <v>1269</v>
      </c>
      <c r="Y94" s="67"/>
      <c r="Z94" s="67"/>
      <c r="AA94" s="67"/>
      <c r="AB94" s="67"/>
      <c r="AC94" s="67"/>
    </row>
    <row r="95" spans="2:29" hidden="1">
      <c r="B95" s="166"/>
      <c r="C95" s="173"/>
      <c r="D95" s="218">
        <v>1</v>
      </c>
      <c r="E95" s="218" t="s">
        <v>336</v>
      </c>
      <c r="F95" s="218" t="str">
        <f t="shared" si="5"/>
        <v>1 - Mobile Combustion</v>
      </c>
      <c r="G95" s="227" t="s">
        <v>307</v>
      </c>
      <c r="H95" s="229" t="s">
        <v>348</v>
      </c>
      <c r="I95" s="229"/>
      <c r="J95" s="229" t="s">
        <v>308</v>
      </c>
      <c r="K95" s="229" t="s">
        <v>203</v>
      </c>
      <c r="L95" s="230" t="s">
        <v>348</v>
      </c>
      <c r="M95" s="215" t="str">
        <f t="shared" si="6"/>
        <v>DieselForestry</v>
      </c>
      <c r="N95" s="403">
        <v>74.099999999999994</v>
      </c>
      <c r="O95" s="404">
        <v>3.5999999999999997E-4</v>
      </c>
      <c r="P95" s="404">
        <v>3.7200000000000002E-3</v>
      </c>
      <c r="Q95" s="217">
        <f>O95*_xlfn.XLOOKUP('Emission Factors'!O$16,GWPs!$B:$B,GWPs!$E:$E)</f>
        <v>8.9999999999999993E-3</v>
      </c>
      <c r="R95" s="224">
        <f>P95*_xlfn.XLOOKUP('Emission Factors'!P$16,GWPs!$B:$B,GWPs!$E:$E)</f>
        <v>1.10856</v>
      </c>
      <c r="S95" s="228">
        <f>N95+(_xlfn.XLOOKUP($O$16,GWPs!$B:$B,GWPs!$E:$E)*O95)+(_xlfn.XLOOKUP($P$16,GWPs!$B:$B,GWPs!$E:$E)*P95)</f>
        <v>75.217559999999992</v>
      </c>
      <c r="T95" s="384">
        <f>N95+(_xlfn.XLOOKUP($O$16,GWPs!$B:$B,GWPs!$F:$F)*O95)+(_xlfn.XLOOKUP($P$16,GWPs!$B:$B,GWPs!$F:$F)*P95)</f>
        <v>75.095879999999994</v>
      </c>
      <c r="U95" s="227" t="s">
        <v>309</v>
      </c>
      <c r="V95" s="414"/>
      <c r="W95" s="218" t="s">
        <v>1269</v>
      </c>
      <c r="Y95" s="67"/>
      <c r="Z95" s="67"/>
      <c r="AA95" s="67"/>
      <c r="AB95" s="67"/>
      <c r="AC95" s="67"/>
    </row>
    <row r="96" spans="2:29" hidden="1">
      <c r="B96" s="166"/>
      <c r="C96" s="173"/>
      <c r="D96" s="218">
        <v>1</v>
      </c>
      <c r="E96" s="218" t="s">
        <v>336</v>
      </c>
      <c r="F96" s="218" t="str">
        <f t="shared" si="5"/>
        <v>1 - Mobile Combustion</v>
      </c>
      <c r="G96" s="227" t="s">
        <v>307</v>
      </c>
      <c r="H96" s="229" t="s">
        <v>348</v>
      </c>
      <c r="I96" s="229"/>
      <c r="J96" s="229" t="s">
        <v>308</v>
      </c>
      <c r="K96" s="229" t="s">
        <v>207</v>
      </c>
      <c r="L96" s="230" t="s">
        <v>348</v>
      </c>
      <c r="M96" s="215" t="str">
        <f t="shared" si="6"/>
        <v>GasolineForestry</v>
      </c>
      <c r="N96" s="403">
        <v>73</v>
      </c>
      <c r="O96" s="404">
        <v>0.24084</v>
      </c>
      <c r="P96" s="404">
        <v>4.6000000000000001E-4</v>
      </c>
      <c r="Q96" s="217">
        <f>O96*_xlfn.XLOOKUP('Emission Factors'!O$16,GWPs!$B:$B,GWPs!$E:$E)</f>
        <v>6.0209999999999999</v>
      </c>
      <c r="R96" s="224">
        <f>P96*_xlfn.XLOOKUP('Emission Factors'!P$16,GWPs!$B:$B,GWPs!$E:$E)</f>
        <v>0.13708000000000001</v>
      </c>
      <c r="S96" s="228">
        <f>N96+(_xlfn.XLOOKUP($O$16,GWPs!$B:$B,GWPs!$E:$E)*O96)+(_xlfn.XLOOKUP($P$16,GWPs!$B:$B,GWPs!$E:$E)*P96)</f>
        <v>79.158079999999998</v>
      </c>
      <c r="T96" s="384">
        <f>N96+(_xlfn.XLOOKUP($O$16,GWPs!$B:$B,GWPs!$F:$F)*O96)+(_xlfn.XLOOKUP($P$16,GWPs!$B:$B,GWPs!$F:$F)*P96)</f>
        <v>79.86542</v>
      </c>
      <c r="U96" s="227" t="s">
        <v>309</v>
      </c>
      <c r="V96" s="414"/>
      <c r="W96" s="218" t="s">
        <v>1269</v>
      </c>
      <c r="Y96" s="67"/>
      <c r="Z96" s="67"/>
      <c r="AA96" s="67"/>
      <c r="AB96" s="67"/>
      <c r="AC96" s="67"/>
    </row>
    <row r="97" spans="2:29" hidden="1">
      <c r="B97" s="166"/>
      <c r="C97" s="173"/>
      <c r="D97" s="218">
        <v>1</v>
      </c>
      <c r="E97" s="218" t="s">
        <v>336</v>
      </c>
      <c r="F97" s="218" t="str">
        <f t="shared" si="5"/>
        <v>1 - Mobile Combustion</v>
      </c>
      <c r="G97" s="227" t="s">
        <v>307</v>
      </c>
      <c r="H97" s="229" t="s">
        <v>349</v>
      </c>
      <c r="I97" s="229"/>
      <c r="J97" s="229" t="s">
        <v>308</v>
      </c>
      <c r="K97" s="229" t="s">
        <v>345</v>
      </c>
      <c r="L97" s="230" t="s">
        <v>322</v>
      </c>
      <c r="M97" s="215" t="str">
        <f t="shared" si="6"/>
        <v>Bio ethanolManufacturing industries and construction</v>
      </c>
      <c r="N97" s="403">
        <v>0</v>
      </c>
      <c r="O97" s="404">
        <v>5.7790000000000001E-2</v>
      </c>
      <c r="P97" s="404">
        <v>1.49E-3</v>
      </c>
      <c r="Q97" s="217">
        <f>O97*_xlfn.XLOOKUP('Emission Factors'!O$16,GWPs!$B:$B,GWPs!$E:$E)</f>
        <v>1.44475</v>
      </c>
      <c r="R97" s="224">
        <f>P97*_xlfn.XLOOKUP('Emission Factors'!P$16,GWPs!$B:$B,GWPs!$E:$E)</f>
        <v>0.44402000000000003</v>
      </c>
      <c r="S97" s="228">
        <f>N97+(_xlfn.XLOOKUP($O$16,GWPs!$B:$B,GWPs!$E:$E)*O97)+(_xlfn.XLOOKUP($P$16,GWPs!$B:$B,GWPs!$E:$E)*P97)</f>
        <v>1.8887700000000001</v>
      </c>
      <c r="T97" s="384">
        <f>N97+(_xlfn.XLOOKUP($O$16,GWPs!$B:$B,GWPs!$F:$F)*O97)+(_xlfn.XLOOKUP($P$16,GWPs!$B:$B,GWPs!$F:$F)*P97)</f>
        <v>2.0129700000000001</v>
      </c>
      <c r="U97" s="227" t="s">
        <v>309</v>
      </c>
      <c r="V97" s="414"/>
      <c r="W97" s="218" t="s">
        <v>1269</v>
      </c>
      <c r="Y97" s="67"/>
      <c r="Z97" s="67"/>
      <c r="AA97" s="67"/>
      <c r="AB97" s="67"/>
      <c r="AC97" s="67"/>
    </row>
    <row r="98" spans="2:29" hidden="1">
      <c r="B98" s="166"/>
      <c r="C98" s="173"/>
      <c r="D98" s="218">
        <v>1</v>
      </c>
      <c r="E98" s="218" t="s">
        <v>336</v>
      </c>
      <c r="F98" s="218" t="str">
        <f t="shared" si="5"/>
        <v>1 - Mobile Combustion</v>
      </c>
      <c r="G98" s="227" t="s">
        <v>307</v>
      </c>
      <c r="H98" s="229" t="s">
        <v>349</v>
      </c>
      <c r="I98" s="229"/>
      <c r="J98" s="229" t="s">
        <v>308</v>
      </c>
      <c r="K98" s="229" t="s">
        <v>203</v>
      </c>
      <c r="L98" s="230" t="s">
        <v>322</v>
      </c>
      <c r="M98" s="215" t="str">
        <f t="shared" si="6"/>
        <v>DieselManufacturing industries and construction</v>
      </c>
      <c r="N98" s="403">
        <v>74.099999999999994</v>
      </c>
      <c r="O98" s="404">
        <v>8.1999999999999998E-4</v>
      </c>
      <c r="P98" s="404">
        <v>3.49E-3</v>
      </c>
      <c r="Q98" s="217">
        <f>O98*_xlfn.XLOOKUP('Emission Factors'!O$16,GWPs!$B:$B,GWPs!$E:$E)</f>
        <v>2.0500000000000001E-2</v>
      </c>
      <c r="R98" s="224">
        <f>P98*_xlfn.XLOOKUP('Emission Factors'!P$16,GWPs!$B:$B,GWPs!$E:$E)</f>
        <v>1.0400199999999999</v>
      </c>
      <c r="S98" s="228">
        <f>N98+(_xlfn.XLOOKUP($O$16,GWPs!$B:$B,GWPs!$E:$E)*O98)+(_xlfn.XLOOKUP($P$16,GWPs!$B:$B,GWPs!$E:$E)*P98)</f>
        <v>75.160519999999991</v>
      </c>
      <c r="T98" s="384">
        <f>N98+(_xlfn.XLOOKUP($O$16,GWPs!$B:$B,GWPs!$F:$F)*O98)+(_xlfn.XLOOKUP($P$16,GWPs!$B:$B,GWPs!$F:$F)*P98)</f>
        <v>75.047809999999998</v>
      </c>
      <c r="U98" s="227" t="s">
        <v>309</v>
      </c>
      <c r="V98" s="414"/>
      <c r="W98" s="218" t="s">
        <v>1269</v>
      </c>
      <c r="Y98" s="67"/>
      <c r="Z98" s="67"/>
      <c r="AA98" s="67"/>
      <c r="AB98" s="67"/>
      <c r="AC98" s="67"/>
    </row>
    <row r="99" spans="2:29" hidden="1">
      <c r="B99" s="166"/>
      <c r="C99" s="173"/>
      <c r="D99" s="218">
        <v>1</v>
      </c>
      <c r="E99" s="218" t="s">
        <v>336</v>
      </c>
      <c r="F99" s="218" t="str">
        <f t="shared" si="5"/>
        <v>1 - Mobile Combustion</v>
      </c>
      <c r="G99" s="227" t="s">
        <v>307</v>
      </c>
      <c r="H99" s="229" t="s">
        <v>349</v>
      </c>
      <c r="I99" s="229"/>
      <c r="J99" s="229" t="s">
        <v>308</v>
      </c>
      <c r="K99" s="229" t="s">
        <v>207</v>
      </c>
      <c r="L99" s="230" t="s">
        <v>322</v>
      </c>
      <c r="M99" s="215" t="str">
        <f t="shared" si="6"/>
        <v>GasolineManufacturing industries and construction</v>
      </c>
      <c r="N99" s="403">
        <v>73</v>
      </c>
      <c r="O99" s="404">
        <v>5.7790000000000001E-2</v>
      </c>
      <c r="P99" s="404">
        <v>1.49E-3</v>
      </c>
      <c r="Q99" s="217">
        <f>O99*_xlfn.XLOOKUP('Emission Factors'!O$16,GWPs!$B:$B,GWPs!$E:$E)</f>
        <v>1.44475</v>
      </c>
      <c r="R99" s="224">
        <f>P99*_xlfn.XLOOKUP('Emission Factors'!P$16,GWPs!$B:$B,GWPs!$E:$E)</f>
        <v>0.44402000000000003</v>
      </c>
      <c r="S99" s="228">
        <f>N99+(_xlfn.XLOOKUP($O$16,GWPs!$B:$B,GWPs!$E:$E)*O99)+(_xlfn.XLOOKUP($P$16,GWPs!$B:$B,GWPs!$E:$E)*P99)</f>
        <v>74.888769999999994</v>
      </c>
      <c r="T99" s="384">
        <f>N99+(_xlfn.XLOOKUP($O$16,GWPs!$B:$B,GWPs!$F:$F)*O99)+(_xlfn.XLOOKUP($P$16,GWPs!$B:$B,GWPs!$F:$F)*P99)</f>
        <v>75.01297000000001</v>
      </c>
      <c r="U99" s="227" t="s">
        <v>309</v>
      </c>
      <c r="V99" s="414"/>
      <c r="W99" s="218" t="s">
        <v>1269</v>
      </c>
      <c r="Y99" s="67"/>
      <c r="Z99" s="67"/>
      <c r="AA99" s="67"/>
      <c r="AB99" s="67"/>
      <c r="AC99" s="67"/>
    </row>
    <row r="100" spans="2:29" hidden="1">
      <c r="B100" s="166"/>
      <c r="C100" s="173"/>
      <c r="D100" s="218">
        <v>1</v>
      </c>
      <c r="E100" s="218" t="s">
        <v>336</v>
      </c>
      <c r="F100" s="218" t="str">
        <f t="shared" si="5"/>
        <v>1 - Mobile Combustion</v>
      </c>
      <c r="G100" s="227" t="s">
        <v>307</v>
      </c>
      <c r="H100" s="229" t="s">
        <v>350</v>
      </c>
      <c r="I100" s="229"/>
      <c r="J100" s="229" t="s">
        <v>308</v>
      </c>
      <c r="K100" s="229" t="s">
        <v>345</v>
      </c>
      <c r="L100" s="230" t="s">
        <v>324</v>
      </c>
      <c r="M100" s="215" t="str">
        <f t="shared" si="6"/>
        <v>Bio ethanolResidential</v>
      </c>
      <c r="N100" s="403">
        <v>0</v>
      </c>
      <c r="O100" s="404">
        <v>5.1670000000000001E-2</v>
      </c>
      <c r="P100" s="404">
        <v>1.16E-3</v>
      </c>
      <c r="Q100" s="217">
        <f>O100*_xlfn.XLOOKUP('Emission Factors'!O$16,GWPs!$B:$B,GWPs!$E:$E)</f>
        <v>1.29175</v>
      </c>
      <c r="R100" s="224">
        <f>P100*_xlfn.XLOOKUP('Emission Factors'!P$16,GWPs!$B:$B,GWPs!$E:$E)</f>
        <v>0.34567999999999999</v>
      </c>
      <c r="S100" s="228">
        <f>N100+(_xlfn.XLOOKUP($O$16,GWPs!$B:$B,GWPs!$E:$E)*O100)+(_xlfn.XLOOKUP($P$16,GWPs!$B:$B,GWPs!$E:$E)*P100)</f>
        <v>1.6374299999999999</v>
      </c>
      <c r="T100" s="384">
        <f>N100+(_xlfn.XLOOKUP($O$16,GWPs!$B:$B,GWPs!$F:$F)*O100)+(_xlfn.XLOOKUP($P$16,GWPs!$B:$B,GWPs!$F:$F)*P100)</f>
        <v>1.7541600000000002</v>
      </c>
      <c r="U100" s="227" t="s">
        <v>309</v>
      </c>
      <c r="V100" s="414"/>
      <c r="W100" s="218" t="s">
        <v>1269</v>
      </c>
      <c r="Y100" s="67"/>
      <c r="Z100" s="67"/>
      <c r="AA100" s="67"/>
      <c r="AB100" s="67"/>
      <c r="AC100" s="67"/>
    </row>
    <row r="101" spans="2:29" hidden="1">
      <c r="B101" s="166"/>
      <c r="C101" s="173"/>
      <c r="D101" s="218">
        <v>1</v>
      </c>
      <c r="E101" s="218" t="s">
        <v>336</v>
      </c>
      <c r="F101" s="218" t="str">
        <f t="shared" si="5"/>
        <v>1 - Mobile Combustion</v>
      </c>
      <c r="G101" s="227" t="s">
        <v>307</v>
      </c>
      <c r="H101" s="229" t="s">
        <v>350</v>
      </c>
      <c r="I101" s="229"/>
      <c r="J101" s="229" t="s">
        <v>308</v>
      </c>
      <c r="K101" s="229" t="s">
        <v>207</v>
      </c>
      <c r="L101" s="230" t="s">
        <v>324</v>
      </c>
      <c r="M101" s="215" t="str">
        <f t="shared" si="6"/>
        <v>GasolineResidential</v>
      </c>
      <c r="N101" s="403">
        <v>73</v>
      </c>
      <c r="O101" s="404">
        <v>5.1670000000000001E-2</v>
      </c>
      <c r="P101" s="404">
        <v>1.16E-3</v>
      </c>
      <c r="Q101" s="217">
        <f>O101*_xlfn.XLOOKUP('Emission Factors'!O$16,GWPs!$B:$B,GWPs!$E:$E)</f>
        <v>1.29175</v>
      </c>
      <c r="R101" s="224">
        <f>P101*_xlfn.XLOOKUP('Emission Factors'!P$16,GWPs!$B:$B,GWPs!$E:$E)</f>
        <v>0.34567999999999999</v>
      </c>
      <c r="S101" s="228">
        <f>N101+(_xlfn.XLOOKUP($O$16,GWPs!$B:$B,GWPs!$E:$E)*O101)+(_xlfn.XLOOKUP($P$16,GWPs!$B:$B,GWPs!$E:$E)*P101)</f>
        <v>74.637429999999995</v>
      </c>
      <c r="T101" s="384">
        <f>N101+(_xlfn.XLOOKUP($O$16,GWPs!$B:$B,GWPs!$F:$F)*O101)+(_xlfn.XLOOKUP($P$16,GWPs!$B:$B,GWPs!$F:$F)*P101)</f>
        <v>74.754159999999999</v>
      </c>
      <c r="U101" s="227" t="s">
        <v>309</v>
      </c>
      <c r="V101" s="414"/>
      <c r="W101" s="218" t="s">
        <v>1269</v>
      </c>
      <c r="Y101" s="67"/>
      <c r="Z101" s="67"/>
      <c r="AA101" s="67"/>
      <c r="AB101" s="67"/>
      <c r="AC101" s="67"/>
    </row>
    <row r="102" spans="2:29" hidden="1">
      <c r="B102" s="166"/>
      <c r="C102" s="173"/>
      <c r="D102" s="218">
        <v>1</v>
      </c>
      <c r="E102" s="218" t="s">
        <v>336</v>
      </c>
      <c r="F102" s="218" t="str">
        <f t="shared" si="5"/>
        <v>1 - Mobile Combustion</v>
      </c>
      <c r="G102" s="227" t="s">
        <v>307</v>
      </c>
      <c r="H102" s="229" t="s">
        <v>351</v>
      </c>
      <c r="I102" s="229"/>
      <c r="J102" s="229" t="s">
        <v>308</v>
      </c>
      <c r="K102" s="229" t="s">
        <v>345</v>
      </c>
      <c r="L102" s="231" t="s">
        <v>323</v>
      </c>
      <c r="M102" s="215" t="str">
        <f t="shared" si="6"/>
        <v>Bio ethanolCommercial/Institutional</v>
      </c>
      <c r="N102" s="403">
        <v>0</v>
      </c>
      <c r="O102" s="404">
        <v>3.5439999999999999E-2</v>
      </c>
      <c r="P102" s="404">
        <v>1.31E-3</v>
      </c>
      <c r="Q102" s="217">
        <f>O102*_xlfn.XLOOKUP('Emission Factors'!O$16,GWPs!$B:$B,GWPs!$E:$E)</f>
        <v>0.88600000000000001</v>
      </c>
      <c r="R102" s="224">
        <f>P102*_xlfn.XLOOKUP('Emission Factors'!P$16,GWPs!$B:$B,GWPs!$E:$E)</f>
        <v>0.39038</v>
      </c>
      <c r="S102" s="228">
        <f>N102+(_xlfn.XLOOKUP($O$16,GWPs!$B:$B,GWPs!$E:$E)*O102)+(_xlfn.XLOOKUP($P$16,GWPs!$B:$B,GWPs!$E:$E)*P102)</f>
        <v>1.2763800000000001</v>
      </c>
      <c r="T102" s="384">
        <f>N102+(_xlfn.XLOOKUP($O$16,GWPs!$B:$B,GWPs!$F:$F)*O102)+(_xlfn.XLOOKUP($P$16,GWPs!$B:$B,GWPs!$F:$F)*P102)</f>
        <v>1.3394699999999999</v>
      </c>
      <c r="U102" s="227" t="s">
        <v>309</v>
      </c>
      <c r="V102" s="414"/>
      <c r="W102" s="218" t="s">
        <v>1269</v>
      </c>
      <c r="Y102" s="67"/>
      <c r="Z102" s="67"/>
      <c r="AA102" s="67"/>
      <c r="AB102" s="67"/>
      <c r="AC102" s="67"/>
    </row>
    <row r="103" spans="2:29" hidden="1">
      <c r="B103" s="166"/>
      <c r="C103" s="173"/>
      <c r="D103" s="218">
        <v>1</v>
      </c>
      <c r="E103" s="218" t="s">
        <v>336</v>
      </c>
      <c r="F103" s="218" t="str">
        <f t="shared" si="5"/>
        <v>1 - Mobile Combustion</v>
      </c>
      <c r="G103" s="227" t="s">
        <v>307</v>
      </c>
      <c r="H103" s="229" t="s">
        <v>351</v>
      </c>
      <c r="I103" s="229"/>
      <c r="J103" s="229" t="s">
        <v>308</v>
      </c>
      <c r="K103" s="229" t="s">
        <v>203</v>
      </c>
      <c r="L103" s="231" t="s">
        <v>323</v>
      </c>
      <c r="M103" s="215" t="str">
        <f t="shared" si="6"/>
        <v>DieselCommercial/Institutional</v>
      </c>
      <c r="N103" s="403">
        <v>74.099999999999994</v>
      </c>
      <c r="O103" s="404">
        <v>8.9999999999999998E-4</v>
      </c>
      <c r="P103" s="404">
        <v>3.46E-3</v>
      </c>
      <c r="Q103" s="217">
        <f>O103*_xlfn.XLOOKUP('Emission Factors'!O$16,GWPs!$B:$B,GWPs!$E:$E)</f>
        <v>2.2499999999999999E-2</v>
      </c>
      <c r="R103" s="224">
        <f>P103*_xlfn.XLOOKUP('Emission Factors'!P$16,GWPs!$B:$B,GWPs!$E:$E)</f>
        <v>1.03108</v>
      </c>
      <c r="S103" s="228">
        <f>N103+(_xlfn.XLOOKUP($O$16,GWPs!$B:$B,GWPs!$E:$E)*O103)+(_xlfn.XLOOKUP($P$16,GWPs!$B:$B,GWPs!$E:$E)*P103)</f>
        <v>75.153579999999991</v>
      </c>
      <c r="T103" s="384">
        <f>N103+(_xlfn.XLOOKUP($O$16,GWPs!$B:$B,GWPs!$F:$F)*O103)+(_xlfn.XLOOKUP($P$16,GWPs!$B:$B,GWPs!$F:$F)*P103)</f>
        <v>75.042099999999991</v>
      </c>
      <c r="U103" s="227" t="s">
        <v>309</v>
      </c>
      <c r="V103" s="414"/>
      <c r="W103" s="218" t="s">
        <v>1269</v>
      </c>
      <c r="Y103" s="67"/>
      <c r="Z103" s="67"/>
      <c r="AA103" s="67"/>
      <c r="AB103" s="67"/>
      <c r="AC103" s="67"/>
    </row>
    <row r="104" spans="2:29" hidden="1">
      <c r="B104" s="166"/>
      <c r="C104" s="173"/>
      <c r="D104" s="218">
        <v>1</v>
      </c>
      <c r="E104" s="218" t="s">
        <v>336</v>
      </c>
      <c r="F104" s="218" t="str">
        <f t="shared" si="5"/>
        <v>1 - Mobile Combustion</v>
      </c>
      <c r="G104" s="227" t="s">
        <v>307</v>
      </c>
      <c r="H104" s="229" t="s">
        <v>351</v>
      </c>
      <c r="I104" s="229"/>
      <c r="J104" s="229" t="s">
        <v>308</v>
      </c>
      <c r="K104" s="229" t="s">
        <v>207</v>
      </c>
      <c r="L104" s="231" t="s">
        <v>323</v>
      </c>
      <c r="M104" s="215" t="str">
        <f t="shared" si="6"/>
        <v>GasolineCommercial/Institutional</v>
      </c>
      <c r="N104" s="403">
        <v>73</v>
      </c>
      <c r="O104" s="404">
        <v>3.5439999999999999E-2</v>
      </c>
      <c r="P104" s="404">
        <v>1.31E-3</v>
      </c>
      <c r="Q104" s="217">
        <f>O104*_xlfn.XLOOKUP('Emission Factors'!O$16,GWPs!$B:$B,GWPs!$E:$E)</f>
        <v>0.88600000000000001</v>
      </c>
      <c r="R104" s="224">
        <f>P104*_xlfn.XLOOKUP('Emission Factors'!P$16,GWPs!$B:$B,GWPs!$E:$E)</f>
        <v>0.39038</v>
      </c>
      <c r="S104" s="228">
        <f>N104+(_xlfn.XLOOKUP($O$16,GWPs!$B:$B,GWPs!$E:$E)*O104)+(_xlfn.XLOOKUP($P$16,GWPs!$B:$B,GWPs!$E:$E)*P104)</f>
        <v>74.276379999999989</v>
      </c>
      <c r="T104" s="384">
        <f>N104+(_xlfn.XLOOKUP($O$16,GWPs!$B:$B,GWPs!$F:$F)*O104)+(_xlfn.XLOOKUP($P$16,GWPs!$B:$B,GWPs!$F:$F)*P104)</f>
        <v>74.339470000000006</v>
      </c>
      <c r="U104" s="227" t="s">
        <v>309</v>
      </c>
      <c r="V104" s="414"/>
      <c r="W104" s="218" t="s">
        <v>1269</v>
      </c>
      <c r="Y104" s="67"/>
      <c r="Z104" s="67"/>
      <c r="AA104" s="67"/>
      <c r="AB104" s="67"/>
      <c r="AC104" s="67"/>
    </row>
    <row r="105" spans="2:29" hidden="1">
      <c r="B105" s="166"/>
      <c r="C105" s="173"/>
      <c r="D105" s="218">
        <v>1</v>
      </c>
      <c r="E105" s="218" t="s">
        <v>336</v>
      </c>
      <c r="F105" s="218" t="str">
        <f>D105&amp;" - "&amp;E105</f>
        <v>1 - Mobile Combustion</v>
      </c>
      <c r="G105" s="227" t="s">
        <v>307</v>
      </c>
      <c r="H105" s="229" t="s">
        <v>352</v>
      </c>
      <c r="I105" s="229"/>
      <c r="J105" s="229" t="s">
        <v>308</v>
      </c>
      <c r="K105" s="229" t="s">
        <v>353</v>
      </c>
      <c r="L105" s="229" t="str">
        <f>H105</f>
        <v>Air traffic, Dom. &lt; 3000 ft.</v>
      </c>
      <c r="M105" s="215" t="str">
        <f>K105&amp;L105</f>
        <v>AvGasAir traffic, Dom. &lt; 3000 ft.</v>
      </c>
      <c r="N105" s="403">
        <v>73</v>
      </c>
      <c r="O105" s="404">
        <v>8.6199999999999992E-3</v>
      </c>
      <c r="P105" s="404">
        <v>2E-3</v>
      </c>
      <c r="Q105" s="222">
        <f>O105*_xlfn.XLOOKUP('Emission Factors'!O$16,GWPs!$B:$B,GWPs!$E:$E)</f>
        <v>0.21549999999999997</v>
      </c>
      <c r="R105" s="232">
        <f>P105*_xlfn.XLOOKUP('Emission Factors'!P$16,GWPs!$B:$B,GWPs!$E:$E)</f>
        <v>0.59599999999999997</v>
      </c>
      <c r="S105" s="233">
        <f>N105+(_xlfn.XLOOKUP($O$16,GWPs!$B:$B,GWPs!$E:$E)*O105)+(_xlfn.XLOOKUP($P$16,GWPs!$B:$B,GWPs!$E:$E)*P105)</f>
        <v>73.811500000000009</v>
      </c>
      <c r="T105" s="384">
        <f>N105+(_xlfn.XLOOKUP($O$16,GWPs!$B:$B,GWPs!$F:$F)*O105)+(_xlfn.XLOOKUP($P$16,GWPs!$B:$B,GWPs!$F:$F)*P105)</f>
        <v>73.771360000000001</v>
      </c>
      <c r="U105" s="227" t="s">
        <v>309</v>
      </c>
      <c r="V105" s="414" t="s">
        <v>1313</v>
      </c>
      <c r="W105" s="218" t="s">
        <v>1269</v>
      </c>
      <c r="Y105" s="67"/>
      <c r="Z105" s="67"/>
      <c r="AA105" s="67"/>
      <c r="AB105" s="67"/>
      <c r="AC105" s="67"/>
    </row>
    <row r="106" spans="2:29" ht="15" customHeight="1">
      <c r="B106" s="166"/>
      <c r="C106" s="173"/>
      <c r="D106" s="218">
        <v>1</v>
      </c>
      <c r="E106" s="218" t="s">
        <v>336</v>
      </c>
      <c r="F106" s="218" t="str">
        <f t="shared" si="5"/>
        <v>1 - Mobile Combustion</v>
      </c>
      <c r="G106" s="227" t="s">
        <v>307</v>
      </c>
      <c r="H106" s="229" t="s">
        <v>352</v>
      </c>
      <c r="I106" s="229"/>
      <c r="J106" s="229" t="s">
        <v>308</v>
      </c>
      <c r="K106" s="229" t="s">
        <v>354</v>
      </c>
      <c r="L106" s="234" t="str">
        <f>H106</f>
        <v>Air traffic, Dom. &lt; 3000 ft.</v>
      </c>
      <c r="M106" s="215" t="str">
        <f t="shared" si="6"/>
        <v>Jet FuelAir traffic, Dom. &lt; 3000 ft.</v>
      </c>
      <c r="N106" s="403">
        <v>72</v>
      </c>
      <c r="O106" s="405">
        <v>1.5100000000000001E-3</v>
      </c>
      <c r="P106" s="405">
        <v>8.7899999999999992E-3</v>
      </c>
      <c r="Q106" s="217">
        <f>O106*_xlfn.XLOOKUP('Emission Factors'!O$16,GWPs!$B:$B,GWPs!$E:$E)</f>
        <v>3.7749999999999999E-2</v>
      </c>
      <c r="R106" s="224">
        <f>P106*_xlfn.XLOOKUP('Emission Factors'!P$16,GWPs!$B:$B,GWPs!$E:$E)</f>
        <v>2.6194199999999999</v>
      </c>
      <c r="S106" s="228">
        <f>N106+(_xlfn.XLOOKUP($O$16,GWPs!$B:$B,GWPs!$E:$E)*O106)+(_xlfn.XLOOKUP($P$16,GWPs!$B:$B,GWPs!$E:$E)*P106)</f>
        <v>74.657170000000008</v>
      </c>
      <c r="T106" s="384">
        <f>N106+(_xlfn.XLOOKUP($O$16,GWPs!$B:$B,GWPs!$F:$F)*O106)+(_xlfn.XLOOKUP($P$16,GWPs!$B:$B,GWPs!$F:$F)*P106)</f>
        <v>74.37163000000001</v>
      </c>
      <c r="U106" s="227" t="s">
        <v>309</v>
      </c>
      <c r="V106" s="414" t="s">
        <v>1313</v>
      </c>
      <c r="W106" s="218" t="s">
        <v>1269</v>
      </c>
      <c r="Y106" s="67"/>
      <c r="Z106" s="67"/>
      <c r="AA106" s="67"/>
      <c r="AB106" s="67"/>
      <c r="AC106" s="67"/>
    </row>
    <row r="107" spans="2:29" ht="15" customHeight="1">
      <c r="B107" s="166"/>
      <c r="C107" s="173"/>
      <c r="D107" s="218">
        <v>1</v>
      </c>
      <c r="E107" s="218" t="s">
        <v>336</v>
      </c>
      <c r="F107" s="218" t="str">
        <f t="shared" si="5"/>
        <v>1 - Mobile Combustion</v>
      </c>
      <c r="G107" s="227" t="s">
        <v>307</v>
      </c>
      <c r="H107" s="229" t="s">
        <v>355</v>
      </c>
      <c r="I107" s="229"/>
      <c r="J107" s="229" t="s">
        <v>308</v>
      </c>
      <c r="K107" s="229" t="s">
        <v>354</v>
      </c>
      <c r="L107" s="234" t="str">
        <f t="shared" ref="L107:L109" si="9">H107</f>
        <v>Air traffic, Int. &lt; 3000 ft.</v>
      </c>
      <c r="M107" s="215" t="str">
        <f t="shared" si="6"/>
        <v>Jet FuelAir traffic, Int. &lt; 3000 ft.</v>
      </c>
      <c r="N107" s="403">
        <v>72</v>
      </c>
      <c r="O107" s="405">
        <v>1.91E-3</v>
      </c>
      <c r="P107" s="405">
        <v>4.3600000000000002E-3</v>
      </c>
      <c r="Q107" s="217">
        <f>O107*_xlfn.XLOOKUP('Emission Factors'!O$16,GWPs!$B:$B,GWPs!$E:$E)</f>
        <v>4.7750000000000001E-2</v>
      </c>
      <c r="R107" s="224">
        <f>P107*_xlfn.XLOOKUP('Emission Factors'!P$16,GWPs!$B:$B,GWPs!$E:$E)</f>
        <v>1.29928</v>
      </c>
      <c r="S107" s="228">
        <f>N107+(_xlfn.XLOOKUP($O$16,GWPs!$B:$B,GWPs!$E:$E)*O107)+(_xlfn.XLOOKUP($P$16,GWPs!$B:$B,GWPs!$E:$E)*P107)</f>
        <v>73.34702999999999</v>
      </c>
      <c r="T107" s="384">
        <f>N107+(_xlfn.XLOOKUP($O$16,GWPs!$B:$B,GWPs!$F:$F)*O107)+(_xlfn.XLOOKUP($P$16,GWPs!$B:$B,GWPs!$F:$F)*P107)</f>
        <v>73.208879999999994</v>
      </c>
      <c r="U107" s="227" t="s">
        <v>309</v>
      </c>
      <c r="V107" s="414" t="s">
        <v>1313</v>
      </c>
      <c r="W107" s="218" t="s">
        <v>1269</v>
      </c>
      <c r="Y107" s="67"/>
      <c r="Z107" s="67"/>
      <c r="AA107" s="67"/>
      <c r="AB107" s="67"/>
      <c r="AC107" s="67"/>
    </row>
    <row r="108" spans="2:29" ht="15" customHeight="1">
      <c r="B108" s="166"/>
      <c r="C108" s="173"/>
      <c r="D108" s="218">
        <v>1</v>
      </c>
      <c r="E108" s="218" t="s">
        <v>336</v>
      </c>
      <c r="F108" s="218" t="str">
        <f t="shared" si="5"/>
        <v>1 - Mobile Combustion</v>
      </c>
      <c r="G108" s="227" t="s">
        <v>307</v>
      </c>
      <c r="H108" s="229" t="s">
        <v>356</v>
      </c>
      <c r="I108" s="229"/>
      <c r="J108" s="229" t="s">
        <v>308</v>
      </c>
      <c r="K108" s="229" t="s">
        <v>354</v>
      </c>
      <c r="L108" s="234" t="str">
        <f t="shared" si="9"/>
        <v>Air traffic, Dom. &gt; 3000 ft.</v>
      </c>
      <c r="M108" s="215" t="str">
        <f>K108&amp;L108</f>
        <v>Jet FuelAir traffic, Dom. &gt; 3000 ft.</v>
      </c>
      <c r="N108" s="403">
        <v>72</v>
      </c>
      <c r="O108" s="404">
        <v>0</v>
      </c>
      <c r="P108" s="404">
        <v>2.3E-3</v>
      </c>
      <c r="Q108" s="217">
        <f>O108*_xlfn.XLOOKUP('Emission Factors'!O$16,GWPs!$B:$B,GWPs!$E:$E)</f>
        <v>0</v>
      </c>
      <c r="R108" s="224">
        <f>P108*_xlfn.XLOOKUP('Emission Factors'!P$16,GWPs!$B:$B,GWPs!$E:$E)</f>
        <v>0.68540000000000001</v>
      </c>
      <c r="S108" s="228">
        <f>N108+(_xlfn.XLOOKUP($O$16,GWPs!$B:$B,GWPs!$E:$E)*O108)+(_xlfn.XLOOKUP($P$16,GWPs!$B:$B,GWPs!$E:$E)*P108)</f>
        <v>72.685400000000001</v>
      </c>
      <c r="T108" s="384">
        <f>N108+(_xlfn.XLOOKUP($O$16,GWPs!$B:$B,GWPs!$F:$F)*O108)+(_xlfn.XLOOKUP($P$16,GWPs!$B:$B,GWPs!$F:$F)*P108)</f>
        <v>72.609499999999997</v>
      </c>
      <c r="U108" s="227" t="s">
        <v>309</v>
      </c>
      <c r="V108" s="414" t="s">
        <v>1313</v>
      </c>
      <c r="W108" s="218" t="s">
        <v>1269</v>
      </c>
      <c r="Y108" s="67"/>
      <c r="Z108" s="67"/>
      <c r="AA108" s="67"/>
      <c r="AB108" s="67"/>
      <c r="AC108" s="67"/>
    </row>
    <row r="109" spans="2:29" ht="15" customHeight="1">
      <c r="B109" s="166"/>
      <c r="C109" s="173"/>
      <c r="D109" s="218">
        <v>1</v>
      </c>
      <c r="E109" s="218" t="s">
        <v>336</v>
      </c>
      <c r="F109" s="218" t="str">
        <f t="shared" si="5"/>
        <v>1 - Mobile Combustion</v>
      </c>
      <c r="G109" s="227" t="s">
        <v>307</v>
      </c>
      <c r="H109" s="229" t="s">
        <v>357</v>
      </c>
      <c r="I109" s="229"/>
      <c r="J109" s="229" t="s">
        <v>308</v>
      </c>
      <c r="K109" s="229" t="s">
        <v>354</v>
      </c>
      <c r="L109" s="234" t="str">
        <f t="shared" si="9"/>
        <v>Air traffic, Int. &gt; 3000 ft.</v>
      </c>
      <c r="M109" s="215" t="str">
        <f t="shared" si="6"/>
        <v>Jet FuelAir traffic, Int. &gt; 3000 ft.</v>
      </c>
      <c r="N109" s="403">
        <v>72</v>
      </c>
      <c r="O109" s="404">
        <v>0</v>
      </c>
      <c r="P109" s="404">
        <v>2.3E-3</v>
      </c>
      <c r="Q109" s="217">
        <f>O109*_xlfn.XLOOKUP('Emission Factors'!O$16,GWPs!$B:$B,GWPs!$E:$E)</f>
        <v>0</v>
      </c>
      <c r="R109" s="224">
        <f>P109*_xlfn.XLOOKUP('Emission Factors'!P$16,GWPs!$B:$B,GWPs!$E:$E)</f>
        <v>0.68540000000000001</v>
      </c>
      <c r="S109" s="228">
        <f>N109+(_xlfn.XLOOKUP($O$16,GWPs!$B:$B,GWPs!$E:$E)*O109)+(_xlfn.XLOOKUP($P$16,GWPs!$B:$B,GWPs!$E:$E)*P109)</f>
        <v>72.685400000000001</v>
      </c>
      <c r="T109" s="384">
        <f>N109+(_xlfn.XLOOKUP($O$16,GWPs!$B:$B,GWPs!$F:$F)*O109)+(_xlfn.XLOOKUP($P$16,GWPs!$B:$B,GWPs!$F:$F)*P109)</f>
        <v>72.609499999999997</v>
      </c>
      <c r="U109" s="227" t="s">
        <v>309</v>
      </c>
      <c r="V109" s="414" t="s">
        <v>1313</v>
      </c>
      <c r="W109" s="218" t="s">
        <v>1269</v>
      </c>
      <c r="Y109" s="67"/>
      <c r="Z109" s="67"/>
      <c r="AA109" s="67"/>
      <c r="AB109" s="67"/>
      <c r="AC109" s="67"/>
    </row>
    <row r="110" spans="2:29" ht="15" customHeight="1">
      <c r="B110" s="166"/>
      <c r="C110" s="173"/>
      <c r="D110" s="218">
        <v>1</v>
      </c>
      <c r="E110" s="218" t="s">
        <v>336</v>
      </c>
      <c r="F110" s="218" t="str">
        <f t="shared" si="5"/>
        <v>1 - Mobile Combustion</v>
      </c>
      <c r="G110" s="227" t="s">
        <v>307</v>
      </c>
      <c r="H110" s="227" t="s">
        <v>266</v>
      </c>
      <c r="I110" s="227"/>
      <c r="J110" s="227" t="s">
        <v>308</v>
      </c>
      <c r="K110" s="227" t="s">
        <v>358</v>
      </c>
      <c r="L110" s="227" t="s">
        <v>356</v>
      </c>
      <c r="M110" s="215" t="str">
        <f t="shared" si="6"/>
        <v>HVOAir traffic, Dom. &gt; 3000 ft.</v>
      </c>
      <c r="N110" s="276"/>
      <c r="O110" s="277"/>
      <c r="P110" s="277"/>
      <c r="Q110" s="278"/>
      <c r="R110" s="279"/>
      <c r="S110" s="222">
        <v>1.03677</v>
      </c>
      <c r="T110" s="388">
        <v>1.03677</v>
      </c>
      <c r="U110" s="227" t="s">
        <v>309</v>
      </c>
      <c r="V110" s="227"/>
      <c r="W110" s="218" t="s">
        <v>1098</v>
      </c>
      <c r="X110" s="67"/>
      <c r="Y110" s="67"/>
      <c r="Z110" s="67"/>
      <c r="AA110" s="67"/>
      <c r="AB110" s="67"/>
      <c r="AC110" s="67"/>
    </row>
    <row r="111" spans="2:29" ht="15" customHeight="1">
      <c r="B111" s="166"/>
      <c r="C111" s="173"/>
      <c r="D111" s="218">
        <v>1</v>
      </c>
      <c r="E111" s="218" t="s">
        <v>336</v>
      </c>
      <c r="F111" s="218" t="str">
        <f>D111&amp;" - "&amp;E111</f>
        <v>1 - Mobile Combustion</v>
      </c>
      <c r="G111" s="227" t="s">
        <v>307</v>
      </c>
      <c r="H111" s="227" t="s">
        <v>266</v>
      </c>
      <c r="I111" s="227"/>
      <c r="J111" s="227" t="s">
        <v>308</v>
      </c>
      <c r="K111" s="227" t="s">
        <v>358</v>
      </c>
      <c r="L111" s="227" t="s">
        <v>356</v>
      </c>
      <c r="M111" s="215" t="str">
        <f t="shared" si="6"/>
        <v>HVOAir traffic, Dom. &gt; 3000 ft.</v>
      </c>
      <c r="N111" s="276"/>
      <c r="O111" s="277"/>
      <c r="P111" s="277"/>
      <c r="Q111" s="278"/>
      <c r="R111" s="279"/>
      <c r="S111" s="291">
        <v>3.5580000000000001E-2</v>
      </c>
      <c r="T111" s="388">
        <v>3.5580000000000001E-2</v>
      </c>
      <c r="U111" s="227" t="s">
        <v>334</v>
      </c>
      <c r="V111" s="227"/>
      <c r="W111" s="218" t="s">
        <v>1098</v>
      </c>
      <c r="X111" s="67"/>
      <c r="Y111" s="67"/>
      <c r="Z111" s="67"/>
      <c r="AA111" s="67"/>
      <c r="AB111" s="67"/>
      <c r="AC111" s="67"/>
    </row>
    <row r="112" spans="2:29" ht="15" customHeight="1">
      <c r="B112" s="166"/>
      <c r="C112" s="173"/>
      <c r="D112" s="218">
        <v>1</v>
      </c>
      <c r="E112" s="218" t="s">
        <v>336</v>
      </c>
      <c r="F112" s="218" t="str">
        <f t="shared" si="5"/>
        <v>1 - Mobile Combustion</v>
      </c>
      <c r="G112" s="227" t="s">
        <v>307</v>
      </c>
      <c r="H112" s="227" t="s">
        <v>266</v>
      </c>
      <c r="I112" s="227"/>
      <c r="J112" s="227" t="s">
        <v>308</v>
      </c>
      <c r="K112" s="227" t="s">
        <v>358</v>
      </c>
      <c r="L112" s="227" t="s">
        <v>356</v>
      </c>
      <c r="M112" s="215" t="str">
        <f t="shared" si="6"/>
        <v>HVOAir traffic, Dom. &gt; 3000 ft.</v>
      </c>
      <c r="N112" s="276"/>
      <c r="O112" s="277"/>
      <c r="P112" s="277"/>
      <c r="Q112" s="278"/>
      <c r="R112" s="279"/>
      <c r="S112" s="222">
        <v>4.5620000000000001E-2</v>
      </c>
      <c r="T112" s="388">
        <v>3.5580000000000001E-2</v>
      </c>
      <c r="U112" s="227" t="s">
        <v>226</v>
      </c>
      <c r="V112" s="227"/>
      <c r="W112" s="218" t="s">
        <v>1098</v>
      </c>
      <c r="X112" s="67"/>
      <c r="Y112" s="67"/>
      <c r="Z112" s="67"/>
      <c r="AA112" s="67"/>
      <c r="AB112" s="67"/>
      <c r="AC112" s="67"/>
    </row>
    <row r="113" spans="2:29" ht="15" customHeight="1">
      <c r="B113" s="166"/>
      <c r="C113" s="173"/>
      <c r="D113" s="218">
        <v>1</v>
      </c>
      <c r="E113" s="218" t="s">
        <v>336</v>
      </c>
      <c r="F113" s="218" t="str">
        <f>D113&amp;" - "&amp;E113</f>
        <v>1 - Mobile Combustion</v>
      </c>
      <c r="G113" s="227" t="s">
        <v>307</v>
      </c>
      <c r="H113" s="227" t="s">
        <v>266</v>
      </c>
      <c r="I113" s="227"/>
      <c r="J113" s="227" t="s">
        <v>308</v>
      </c>
      <c r="K113" s="227" t="s">
        <v>358</v>
      </c>
      <c r="L113" s="227" t="s">
        <v>357</v>
      </c>
      <c r="M113" s="215" t="str">
        <f t="shared" si="6"/>
        <v>HVOAir traffic, Int. &gt; 3000 ft.</v>
      </c>
      <c r="N113" s="276"/>
      <c r="O113" s="277"/>
      <c r="P113" s="277"/>
      <c r="Q113" s="278"/>
      <c r="R113" s="279"/>
      <c r="S113" s="222">
        <v>1.03677</v>
      </c>
      <c r="T113" s="388">
        <v>1.03677</v>
      </c>
      <c r="U113" s="227" t="s">
        <v>309</v>
      </c>
      <c r="V113" s="227"/>
      <c r="W113" s="218" t="s">
        <v>1098</v>
      </c>
      <c r="X113" s="67"/>
      <c r="Y113" s="67"/>
      <c r="Z113" s="67"/>
      <c r="AA113" s="67"/>
      <c r="AB113" s="67"/>
      <c r="AC113" s="67"/>
    </row>
    <row r="114" spans="2:29" ht="15" customHeight="1">
      <c r="B114" s="166"/>
      <c r="C114" s="173"/>
      <c r="D114" s="218">
        <v>1</v>
      </c>
      <c r="E114" s="218" t="s">
        <v>336</v>
      </c>
      <c r="F114" s="218" t="str">
        <f t="shared" ref="F114:F116" si="10">D114&amp;" - "&amp;E114</f>
        <v>1 - Mobile Combustion</v>
      </c>
      <c r="G114" s="227" t="s">
        <v>307</v>
      </c>
      <c r="H114" s="227" t="s">
        <v>266</v>
      </c>
      <c r="I114" s="227"/>
      <c r="J114" s="227" t="s">
        <v>308</v>
      </c>
      <c r="K114" s="227" t="s">
        <v>358</v>
      </c>
      <c r="L114" s="227" t="s">
        <v>357</v>
      </c>
      <c r="M114" s="215" t="str">
        <f t="shared" si="6"/>
        <v>HVOAir traffic, Int. &gt; 3000 ft.</v>
      </c>
      <c r="N114" s="276"/>
      <c r="O114" s="277"/>
      <c r="P114" s="277"/>
      <c r="Q114" s="278"/>
      <c r="R114" s="279"/>
      <c r="S114" s="222">
        <v>3.5580000000000001E-2</v>
      </c>
      <c r="T114" s="388">
        <v>3.5580000000000001E-2</v>
      </c>
      <c r="U114" s="227" t="s">
        <v>334</v>
      </c>
      <c r="V114" s="227"/>
      <c r="W114" s="218" t="s">
        <v>1098</v>
      </c>
      <c r="X114" s="67"/>
      <c r="Y114" s="67"/>
      <c r="Z114" s="67"/>
      <c r="AA114" s="67"/>
      <c r="AB114" s="67"/>
      <c r="AC114" s="67"/>
    </row>
    <row r="115" spans="2:29" ht="15" customHeight="1">
      <c r="B115" s="166"/>
      <c r="C115" s="173"/>
      <c r="D115" s="218">
        <v>1</v>
      </c>
      <c r="E115" s="218" t="s">
        <v>336</v>
      </c>
      <c r="F115" s="218" t="str">
        <f t="shared" si="10"/>
        <v>1 - Mobile Combustion</v>
      </c>
      <c r="G115" s="227" t="s">
        <v>307</v>
      </c>
      <c r="H115" s="227" t="s">
        <v>266</v>
      </c>
      <c r="I115" s="227"/>
      <c r="J115" s="227" t="s">
        <v>308</v>
      </c>
      <c r="K115" s="227" t="s">
        <v>358</v>
      </c>
      <c r="L115" s="227" t="s">
        <v>357</v>
      </c>
      <c r="M115" s="215" t="str">
        <f t="shared" si="6"/>
        <v>HVOAir traffic, Int. &gt; 3000 ft.</v>
      </c>
      <c r="N115" s="276"/>
      <c r="O115" s="277"/>
      <c r="P115" s="277"/>
      <c r="Q115" s="278"/>
      <c r="R115" s="279"/>
      <c r="S115" s="222">
        <v>4.5620000000000001E-2</v>
      </c>
      <c r="T115" s="388">
        <v>3.5580000000000001E-2</v>
      </c>
      <c r="U115" s="227" t="s">
        <v>226</v>
      </c>
      <c r="V115" s="227"/>
      <c r="W115" s="218" t="s">
        <v>1098</v>
      </c>
      <c r="X115" s="67"/>
      <c r="Y115" s="67"/>
      <c r="Z115" s="67"/>
      <c r="AA115" s="67"/>
      <c r="AB115" s="67"/>
      <c r="AC115" s="67"/>
    </row>
    <row r="116" spans="2:29" ht="15" customHeight="1">
      <c r="B116" s="166"/>
      <c r="C116" s="173"/>
      <c r="D116" s="218">
        <v>1</v>
      </c>
      <c r="E116" s="218" t="s">
        <v>336</v>
      </c>
      <c r="F116" s="218" t="str">
        <f t="shared" si="10"/>
        <v>1 - Mobile Combustion</v>
      </c>
      <c r="G116" s="227" t="s">
        <v>307</v>
      </c>
      <c r="H116" s="227" t="s">
        <v>257</v>
      </c>
      <c r="I116" s="227"/>
      <c r="J116" s="227" t="s">
        <v>308</v>
      </c>
      <c r="K116" s="227" t="s">
        <v>248</v>
      </c>
      <c r="L116" s="227" t="s">
        <v>247</v>
      </c>
      <c r="M116" s="215" t="str">
        <f t="shared" si="6"/>
        <v>Marine Gas OilSea Navigation</v>
      </c>
      <c r="N116" s="277"/>
      <c r="O116" s="277"/>
      <c r="P116" s="277"/>
      <c r="Q116" s="277"/>
      <c r="R116" s="277"/>
      <c r="S116" s="222">
        <v>0.25835000000000002</v>
      </c>
      <c r="T116" s="388">
        <v>0.26</v>
      </c>
      <c r="U116" s="227" t="s">
        <v>204</v>
      </c>
      <c r="V116" s="235" t="s">
        <v>359</v>
      </c>
      <c r="W116" s="218" t="s">
        <v>1099</v>
      </c>
      <c r="X116" s="67"/>
      <c r="Y116" s="67"/>
      <c r="Z116" s="67"/>
      <c r="AA116" s="67"/>
      <c r="AB116" s="67"/>
      <c r="AC116" s="67"/>
    </row>
    <row r="117" spans="2:29" ht="15" customHeight="1">
      <c r="B117" s="166"/>
      <c r="C117" s="173"/>
      <c r="D117" s="218">
        <v>1</v>
      </c>
      <c r="E117" s="218" t="s">
        <v>336</v>
      </c>
      <c r="F117" s="218" t="str">
        <f t="shared" si="5"/>
        <v>1 - Mobile Combustion</v>
      </c>
      <c r="G117" s="227" t="s">
        <v>307</v>
      </c>
      <c r="H117" s="227" t="s">
        <v>257</v>
      </c>
      <c r="I117" s="227"/>
      <c r="J117" s="227" t="s">
        <v>308</v>
      </c>
      <c r="K117" s="227" t="s">
        <v>248</v>
      </c>
      <c r="L117" s="227" t="s">
        <v>247</v>
      </c>
      <c r="M117" s="215" t="str">
        <f t="shared" si="6"/>
        <v>Marine Gas OilSea Navigation</v>
      </c>
      <c r="N117" s="276"/>
      <c r="O117" s="277"/>
      <c r="P117" s="277"/>
      <c r="Q117" s="278"/>
      <c r="R117" s="279"/>
      <c r="S117" s="222">
        <v>3249.99</v>
      </c>
      <c r="T117" s="388">
        <v>3245.3</v>
      </c>
      <c r="U117" s="227" t="s">
        <v>281</v>
      </c>
      <c r="V117" s="227"/>
      <c r="W117" s="218" t="s">
        <v>1099</v>
      </c>
      <c r="X117" s="67"/>
      <c r="Y117" s="67"/>
      <c r="Z117" s="67"/>
      <c r="AA117" s="67"/>
      <c r="AB117" s="67"/>
      <c r="AC117" s="67"/>
    </row>
    <row r="118" spans="2:29" ht="15" customHeight="1">
      <c r="B118" s="166"/>
      <c r="C118" s="173"/>
      <c r="D118" s="218">
        <v>1</v>
      </c>
      <c r="E118" s="218" t="s">
        <v>336</v>
      </c>
      <c r="F118" s="218" t="str">
        <f t="shared" si="5"/>
        <v>1 - Mobile Combustion</v>
      </c>
      <c r="G118" s="227" t="s">
        <v>307</v>
      </c>
      <c r="H118" s="227" t="s">
        <v>257</v>
      </c>
      <c r="I118" s="227"/>
      <c r="J118" s="227" t="s">
        <v>308</v>
      </c>
      <c r="K118" s="227" t="s">
        <v>248</v>
      </c>
      <c r="L118" s="227" t="s">
        <v>247</v>
      </c>
      <c r="M118" s="215" t="str">
        <f t="shared" si="6"/>
        <v>Marine Gas OilSea Navigation</v>
      </c>
      <c r="N118" s="276"/>
      <c r="O118" s="277"/>
      <c r="P118" s="277"/>
      <c r="Q118" s="278"/>
      <c r="R118" s="279"/>
      <c r="S118" s="222">
        <v>2.7753899999999998</v>
      </c>
      <c r="T118" s="388">
        <v>2.77</v>
      </c>
      <c r="U118" s="227" t="s">
        <v>334</v>
      </c>
      <c r="V118" s="227"/>
      <c r="W118" s="218" t="s">
        <v>1099</v>
      </c>
      <c r="X118" s="67"/>
      <c r="Y118" s="67"/>
      <c r="Z118" s="67"/>
      <c r="AA118" s="67"/>
      <c r="AB118" s="67"/>
      <c r="AC118" s="67"/>
    </row>
    <row r="119" spans="2:29" ht="15" customHeight="1">
      <c r="B119" s="166"/>
      <c r="C119" s="173"/>
      <c r="D119" s="218">
        <v>1</v>
      </c>
      <c r="E119" s="218" t="s">
        <v>336</v>
      </c>
      <c r="F119" s="218" t="str">
        <f t="shared" si="5"/>
        <v>1 - Mobile Combustion</v>
      </c>
      <c r="G119" s="227" t="s">
        <v>307</v>
      </c>
      <c r="H119" s="227" t="s">
        <v>257</v>
      </c>
      <c r="I119" s="227"/>
      <c r="J119" s="227" t="s">
        <v>308</v>
      </c>
      <c r="K119" s="227" t="s">
        <v>248</v>
      </c>
      <c r="L119" s="227" t="s">
        <v>247</v>
      </c>
      <c r="M119" s="215" t="str">
        <f t="shared" si="6"/>
        <v>Marine Gas OilSea Navigation</v>
      </c>
      <c r="N119" s="276"/>
      <c r="O119" s="277"/>
      <c r="P119" s="277"/>
      <c r="Q119" s="278"/>
      <c r="R119" s="279"/>
      <c r="S119" s="222">
        <v>0.25835000000000002</v>
      </c>
      <c r="T119" s="388">
        <v>0.26</v>
      </c>
      <c r="U119" s="227" t="s">
        <v>335</v>
      </c>
      <c r="V119" s="227"/>
      <c r="W119" s="218" t="s">
        <v>1099</v>
      </c>
      <c r="X119" s="67"/>
      <c r="Y119" s="67"/>
      <c r="Z119" s="67"/>
      <c r="AA119" s="67"/>
      <c r="AB119" s="67"/>
      <c r="AC119" s="67"/>
    </row>
    <row r="120" spans="2:29" ht="15" customHeight="1">
      <c r="B120" s="166"/>
      <c r="C120" s="173"/>
      <c r="D120" s="218">
        <v>1</v>
      </c>
      <c r="E120" s="218" t="s">
        <v>336</v>
      </c>
      <c r="F120" s="218" t="str">
        <f t="shared" ref="F120" si="11">D120&amp;" - "&amp;E120</f>
        <v>1 - Mobile Combustion</v>
      </c>
      <c r="G120" s="227" t="s">
        <v>307</v>
      </c>
      <c r="H120" s="227" t="s">
        <v>257</v>
      </c>
      <c r="I120" s="227"/>
      <c r="J120" s="227" t="s">
        <v>308</v>
      </c>
      <c r="K120" s="227" t="s">
        <v>248</v>
      </c>
      <c r="L120" s="227" t="s">
        <v>342</v>
      </c>
      <c r="M120" s="215" t="str">
        <f t="shared" si="6"/>
        <v>Marine Gas OilSea Navigation - International</v>
      </c>
      <c r="N120" s="277"/>
      <c r="O120" s="277"/>
      <c r="P120" s="277"/>
      <c r="Q120" s="277"/>
      <c r="R120" s="277"/>
      <c r="S120" s="222">
        <v>0.25835000000000002</v>
      </c>
      <c r="T120" s="388">
        <v>0.26</v>
      </c>
      <c r="U120" s="227" t="s">
        <v>204</v>
      </c>
      <c r="V120" s="235" t="s">
        <v>359</v>
      </c>
      <c r="W120" s="218" t="s">
        <v>1099</v>
      </c>
      <c r="X120" s="67"/>
      <c r="Y120" s="67"/>
      <c r="Z120" s="67"/>
      <c r="AA120" s="67"/>
      <c r="AB120" s="67"/>
      <c r="AC120" s="67"/>
    </row>
    <row r="121" spans="2:29" ht="15" customHeight="1">
      <c r="B121" s="166"/>
      <c r="C121" s="173"/>
      <c r="D121" s="218">
        <v>1</v>
      </c>
      <c r="E121" s="218" t="s">
        <v>336</v>
      </c>
      <c r="F121" s="218" t="str">
        <f t="shared" si="5"/>
        <v>1 - Mobile Combustion</v>
      </c>
      <c r="G121" s="227" t="s">
        <v>307</v>
      </c>
      <c r="H121" s="227" t="s">
        <v>257</v>
      </c>
      <c r="I121" s="227"/>
      <c r="J121" s="227" t="s">
        <v>308</v>
      </c>
      <c r="K121" s="227" t="s">
        <v>248</v>
      </c>
      <c r="L121" s="227" t="s">
        <v>342</v>
      </c>
      <c r="M121" s="215" t="str">
        <f t="shared" si="6"/>
        <v>Marine Gas OilSea Navigation - International</v>
      </c>
      <c r="N121" s="276"/>
      <c r="O121" s="277"/>
      <c r="P121" s="277"/>
      <c r="Q121" s="278"/>
      <c r="R121" s="279"/>
      <c r="S121" s="222">
        <v>3249.99</v>
      </c>
      <c r="T121" s="388">
        <v>3245.3</v>
      </c>
      <c r="U121" s="227" t="s">
        <v>281</v>
      </c>
      <c r="V121" s="227"/>
      <c r="W121" s="218" t="s">
        <v>1099</v>
      </c>
      <c r="X121" s="67"/>
      <c r="Y121" s="67"/>
      <c r="Z121" s="67"/>
      <c r="AA121" s="67"/>
      <c r="AB121" s="67"/>
      <c r="AC121" s="67"/>
    </row>
    <row r="122" spans="2:29" ht="15" customHeight="1">
      <c r="B122" s="166"/>
      <c r="C122" s="173"/>
      <c r="D122" s="218">
        <v>1</v>
      </c>
      <c r="E122" s="218" t="s">
        <v>336</v>
      </c>
      <c r="F122" s="218" t="str">
        <f t="shared" si="5"/>
        <v>1 - Mobile Combustion</v>
      </c>
      <c r="G122" s="227" t="s">
        <v>307</v>
      </c>
      <c r="H122" s="227" t="s">
        <v>257</v>
      </c>
      <c r="I122" s="227"/>
      <c r="J122" s="227" t="s">
        <v>308</v>
      </c>
      <c r="K122" s="227" t="s">
        <v>248</v>
      </c>
      <c r="L122" s="227" t="s">
        <v>342</v>
      </c>
      <c r="M122" s="215" t="str">
        <f t="shared" si="6"/>
        <v>Marine Gas OilSea Navigation - International</v>
      </c>
      <c r="N122" s="276"/>
      <c r="O122" s="277"/>
      <c r="P122" s="277"/>
      <c r="Q122" s="278"/>
      <c r="R122" s="279"/>
      <c r="S122" s="222">
        <v>2.7753899999999998</v>
      </c>
      <c r="T122" s="388">
        <v>2.77</v>
      </c>
      <c r="U122" s="227" t="s">
        <v>334</v>
      </c>
      <c r="V122" s="227"/>
      <c r="W122" s="218" t="s">
        <v>1099</v>
      </c>
      <c r="X122" s="67"/>
      <c r="Y122" s="67"/>
      <c r="Z122" s="67"/>
      <c r="AA122" s="67"/>
      <c r="AB122" s="67"/>
      <c r="AC122" s="67"/>
    </row>
    <row r="123" spans="2:29" ht="15" customHeight="1">
      <c r="B123" s="166"/>
      <c r="C123" s="173"/>
      <c r="D123" s="218">
        <v>1</v>
      </c>
      <c r="E123" s="218" t="s">
        <v>336</v>
      </c>
      <c r="F123" s="218" t="str">
        <f t="shared" si="5"/>
        <v>1 - Mobile Combustion</v>
      </c>
      <c r="G123" s="227" t="s">
        <v>307</v>
      </c>
      <c r="H123" s="227" t="s">
        <v>257</v>
      </c>
      <c r="I123" s="227"/>
      <c r="J123" s="227" t="s">
        <v>308</v>
      </c>
      <c r="K123" s="227" t="s">
        <v>248</v>
      </c>
      <c r="L123" s="227" t="s">
        <v>342</v>
      </c>
      <c r="M123" s="215" t="str">
        <f t="shared" si="6"/>
        <v>Marine Gas OilSea Navigation - International</v>
      </c>
      <c r="N123" s="276"/>
      <c r="O123" s="277"/>
      <c r="P123" s="277"/>
      <c r="Q123" s="278"/>
      <c r="R123" s="279"/>
      <c r="S123" s="222">
        <v>0.25835000000000002</v>
      </c>
      <c r="T123" s="388">
        <v>0.26</v>
      </c>
      <c r="U123" s="227" t="s">
        <v>335</v>
      </c>
      <c r="V123" s="227"/>
      <c r="W123" s="218" t="s">
        <v>1099</v>
      </c>
      <c r="X123" s="67"/>
      <c r="Y123" s="67"/>
      <c r="Z123" s="67"/>
      <c r="AA123" s="67"/>
      <c r="AB123" s="67"/>
      <c r="AC123" s="67"/>
    </row>
    <row r="124" spans="2:29" ht="15" customHeight="1">
      <c r="B124" s="166"/>
      <c r="C124" s="173"/>
      <c r="D124" s="218">
        <v>1</v>
      </c>
      <c r="E124" s="218" t="s">
        <v>336</v>
      </c>
      <c r="F124" s="218" t="str">
        <f t="shared" si="5"/>
        <v>1 - Mobile Combustion</v>
      </c>
      <c r="G124" s="227" t="s">
        <v>307</v>
      </c>
      <c r="H124" s="227" t="s">
        <v>257</v>
      </c>
      <c r="I124" s="227"/>
      <c r="J124" s="227" t="s">
        <v>308</v>
      </c>
      <c r="K124" s="227" t="s">
        <v>248</v>
      </c>
      <c r="L124" s="227" t="s">
        <v>340</v>
      </c>
      <c r="M124" s="215" t="str">
        <f t="shared" si="6"/>
        <v>Marine Gas OilFishing Ships</v>
      </c>
      <c r="N124" s="277"/>
      <c r="O124" s="277"/>
      <c r="P124" s="277"/>
      <c r="Q124" s="277"/>
      <c r="R124" s="277"/>
      <c r="S124" s="222">
        <v>0.25835000000000002</v>
      </c>
      <c r="T124" s="388">
        <v>0.26</v>
      </c>
      <c r="U124" s="227" t="s">
        <v>204</v>
      </c>
      <c r="V124" s="235" t="s">
        <v>359</v>
      </c>
      <c r="W124" s="218" t="s">
        <v>1099</v>
      </c>
      <c r="X124" s="67"/>
      <c r="Y124" s="67"/>
      <c r="Z124" s="67"/>
      <c r="AA124" s="67"/>
      <c r="AB124" s="67"/>
      <c r="AC124" s="67"/>
    </row>
    <row r="125" spans="2:29" ht="15" customHeight="1">
      <c r="B125" s="166"/>
      <c r="C125" s="173"/>
      <c r="D125" s="218">
        <v>1</v>
      </c>
      <c r="E125" s="218" t="s">
        <v>336</v>
      </c>
      <c r="F125" s="218" t="str">
        <f t="shared" ref="F125:F128" si="12">D125&amp;" - "&amp;E125</f>
        <v>1 - Mobile Combustion</v>
      </c>
      <c r="G125" s="227" t="s">
        <v>307</v>
      </c>
      <c r="H125" s="227" t="s">
        <v>257</v>
      </c>
      <c r="I125" s="227"/>
      <c r="J125" s="227" t="s">
        <v>308</v>
      </c>
      <c r="K125" s="227" t="s">
        <v>248</v>
      </c>
      <c r="L125" s="227" t="s">
        <v>340</v>
      </c>
      <c r="M125" s="215" t="str">
        <f t="shared" si="6"/>
        <v>Marine Gas OilFishing Ships</v>
      </c>
      <c r="N125" s="276"/>
      <c r="O125" s="277"/>
      <c r="P125" s="277"/>
      <c r="Q125" s="278"/>
      <c r="R125" s="279"/>
      <c r="S125" s="222">
        <v>3249.99</v>
      </c>
      <c r="T125" s="388">
        <v>3245.3</v>
      </c>
      <c r="U125" s="227" t="s">
        <v>281</v>
      </c>
      <c r="V125" s="227"/>
      <c r="W125" s="218" t="s">
        <v>1099</v>
      </c>
      <c r="X125" s="67"/>
      <c r="Y125" s="67"/>
      <c r="Z125" s="67"/>
      <c r="AA125" s="67"/>
      <c r="AB125" s="67"/>
      <c r="AC125" s="67"/>
    </row>
    <row r="126" spans="2:29" ht="15" customHeight="1">
      <c r="B126" s="166"/>
      <c r="C126" s="173"/>
      <c r="D126" s="218">
        <v>1</v>
      </c>
      <c r="E126" s="218" t="s">
        <v>336</v>
      </c>
      <c r="F126" s="218" t="str">
        <f t="shared" si="12"/>
        <v>1 - Mobile Combustion</v>
      </c>
      <c r="G126" s="227" t="s">
        <v>307</v>
      </c>
      <c r="H126" s="227" t="s">
        <v>257</v>
      </c>
      <c r="I126" s="227"/>
      <c r="J126" s="227" t="s">
        <v>308</v>
      </c>
      <c r="K126" s="227" t="s">
        <v>248</v>
      </c>
      <c r="L126" s="227" t="s">
        <v>340</v>
      </c>
      <c r="M126" s="215" t="str">
        <f t="shared" si="6"/>
        <v>Marine Gas OilFishing Ships</v>
      </c>
      <c r="N126" s="276"/>
      <c r="O126" s="277"/>
      <c r="P126" s="277"/>
      <c r="Q126" s="278"/>
      <c r="R126" s="279"/>
      <c r="S126" s="222">
        <v>2.7753899999999998</v>
      </c>
      <c r="T126" s="388">
        <v>2.77</v>
      </c>
      <c r="U126" s="227" t="s">
        <v>334</v>
      </c>
      <c r="V126" s="227"/>
      <c r="W126" s="218" t="s">
        <v>1099</v>
      </c>
      <c r="X126" s="67"/>
      <c r="Y126" s="67"/>
      <c r="Z126" s="67"/>
      <c r="AA126" s="67"/>
      <c r="AB126" s="67"/>
      <c r="AC126" s="67"/>
    </row>
    <row r="127" spans="2:29" ht="15" customHeight="1">
      <c r="B127" s="166"/>
      <c r="C127" s="173"/>
      <c r="D127" s="218">
        <v>1</v>
      </c>
      <c r="E127" s="218" t="s">
        <v>336</v>
      </c>
      <c r="F127" s="218" t="str">
        <f t="shared" si="12"/>
        <v>1 - Mobile Combustion</v>
      </c>
      <c r="G127" s="227" t="s">
        <v>307</v>
      </c>
      <c r="H127" s="227" t="s">
        <v>257</v>
      </c>
      <c r="I127" s="227"/>
      <c r="J127" s="227" t="s">
        <v>308</v>
      </c>
      <c r="K127" s="227" t="s">
        <v>248</v>
      </c>
      <c r="L127" s="227" t="s">
        <v>340</v>
      </c>
      <c r="M127" s="215" t="str">
        <f t="shared" si="6"/>
        <v>Marine Gas OilFishing Ships</v>
      </c>
      <c r="N127" s="276"/>
      <c r="O127" s="277"/>
      <c r="P127" s="277"/>
      <c r="Q127" s="278"/>
      <c r="R127" s="279"/>
      <c r="S127" s="222">
        <v>0.25835000000000002</v>
      </c>
      <c r="T127" s="388">
        <v>0.26</v>
      </c>
      <c r="U127" s="227" t="s">
        <v>335</v>
      </c>
      <c r="V127" s="227"/>
      <c r="W127" s="218" t="s">
        <v>1099</v>
      </c>
      <c r="X127" s="67"/>
      <c r="Y127" s="67"/>
      <c r="Z127" s="67"/>
      <c r="AA127" s="67"/>
      <c r="AB127" s="67"/>
      <c r="AC127" s="67"/>
    </row>
    <row r="128" spans="2:29" ht="15" customHeight="1">
      <c r="B128" s="166"/>
      <c r="C128" s="173"/>
      <c r="D128" s="218">
        <v>1</v>
      </c>
      <c r="E128" s="218" t="s">
        <v>336</v>
      </c>
      <c r="F128" s="218" t="str">
        <f t="shared" si="12"/>
        <v>1 - Mobile Combustion</v>
      </c>
      <c r="G128" s="227" t="s">
        <v>307</v>
      </c>
      <c r="H128" s="227" t="s">
        <v>360</v>
      </c>
      <c r="I128" s="227"/>
      <c r="J128" s="227" t="s">
        <v>308</v>
      </c>
      <c r="K128" s="227" t="s">
        <v>203</v>
      </c>
      <c r="L128" s="227" t="s">
        <v>360</v>
      </c>
      <c r="M128" s="215" t="str">
        <f t="shared" si="6"/>
        <v>DieselBus</v>
      </c>
      <c r="N128" s="277"/>
      <c r="O128" s="277"/>
      <c r="P128" s="277"/>
      <c r="Q128" s="277"/>
      <c r="R128" s="277"/>
      <c r="S128" s="222">
        <v>0.25320999999999999</v>
      </c>
      <c r="T128" s="388">
        <v>0.25</v>
      </c>
      <c r="U128" s="227" t="s">
        <v>204</v>
      </c>
      <c r="V128" s="235" t="s">
        <v>359</v>
      </c>
      <c r="W128" s="218" t="s">
        <v>1100</v>
      </c>
      <c r="X128" s="67"/>
      <c r="Y128" s="67"/>
      <c r="Z128" s="67"/>
      <c r="AA128" s="67"/>
      <c r="AB128" s="67"/>
      <c r="AC128" s="67"/>
    </row>
    <row r="129" spans="2:29" ht="15" customHeight="1">
      <c r="B129" s="166"/>
      <c r="C129" s="173"/>
      <c r="D129" s="218">
        <v>1</v>
      </c>
      <c r="E129" s="218" t="s">
        <v>336</v>
      </c>
      <c r="F129" s="218" t="str">
        <f t="shared" si="5"/>
        <v>1 - Mobile Combustion</v>
      </c>
      <c r="G129" s="227" t="s">
        <v>307</v>
      </c>
      <c r="H129" s="227" t="s">
        <v>360</v>
      </c>
      <c r="I129" s="227"/>
      <c r="J129" s="227" t="s">
        <v>308</v>
      </c>
      <c r="K129" s="227" t="s">
        <v>203</v>
      </c>
      <c r="L129" s="227" t="s">
        <v>360</v>
      </c>
      <c r="M129" s="215" t="str">
        <f t="shared" si="6"/>
        <v>DieselBus</v>
      </c>
      <c r="N129" s="276"/>
      <c r="O129" s="277"/>
      <c r="P129" s="277"/>
      <c r="Q129" s="278"/>
      <c r="R129" s="279"/>
      <c r="S129" s="222">
        <v>3208.76</v>
      </c>
      <c r="T129" s="388">
        <v>3203.91</v>
      </c>
      <c r="U129" s="227" t="s">
        <v>281</v>
      </c>
      <c r="V129" s="227"/>
      <c r="W129" s="218" t="s">
        <v>1100</v>
      </c>
      <c r="X129" s="67"/>
      <c r="Y129" s="67"/>
      <c r="Z129" s="67"/>
      <c r="AA129" s="67"/>
      <c r="AB129" s="67"/>
      <c r="AC129" s="67"/>
    </row>
    <row r="130" spans="2:29" ht="15" customHeight="1">
      <c r="B130" s="166"/>
      <c r="C130" s="173"/>
      <c r="D130" s="218">
        <v>1</v>
      </c>
      <c r="E130" s="218" t="s">
        <v>336</v>
      </c>
      <c r="F130" s="218" t="str">
        <f t="shared" si="5"/>
        <v>1 - Mobile Combustion</v>
      </c>
      <c r="G130" s="227" t="s">
        <v>307</v>
      </c>
      <c r="H130" s="227" t="s">
        <v>360</v>
      </c>
      <c r="I130" s="227"/>
      <c r="J130" s="227" t="s">
        <v>308</v>
      </c>
      <c r="K130" s="227" t="s">
        <v>203</v>
      </c>
      <c r="L130" s="227" t="s">
        <v>360</v>
      </c>
      <c r="M130" s="215" t="str">
        <f t="shared" si="6"/>
        <v>DieselBus</v>
      </c>
      <c r="N130" s="276"/>
      <c r="O130" s="277"/>
      <c r="P130" s="277"/>
      <c r="Q130" s="278"/>
      <c r="R130" s="279"/>
      <c r="S130" s="222">
        <v>2.6987999999999999</v>
      </c>
      <c r="T130" s="388">
        <v>2.66</v>
      </c>
      <c r="U130" s="227" t="s">
        <v>334</v>
      </c>
      <c r="V130" s="227"/>
      <c r="W130" s="218" t="s">
        <v>1100</v>
      </c>
      <c r="X130" s="67"/>
      <c r="Y130" s="67"/>
      <c r="Z130" s="67"/>
      <c r="AA130" s="67"/>
      <c r="AB130" s="67"/>
      <c r="AC130" s="67"/>
    </row>
    <row r="131" spans="2:29" ht="15" customHeight="1">
      <c r="B131" s="166"/>
      <c r="C131" s="173"/>
      <c r="D131" s="218">
        <v>1</v>
      </c>
      <c r="E131" s="218" t="s">
        <v>336</v>
      </c>
      <c r="F131" s="218" t="str">
        <f t="shared" si="5"/>
        <v>1 - Mobile Combustion</v>
      </c>
      <c r="G131" s="227" t="s">
        <v>307</v>
      </c>
      <c r="H131" s="227" t="s">
        <v>360</v>
      </c>
      <c r="I131" s="227"/>
      <c r="J131" s="227" t="s">
        <v>308</v>
      </c>
      <c r="K131" s="227" t="s">
        <v>203</v>
      </c>
      <c r="L131" s="227" t="s">
        <v>360</v>
      </c>
      <c r="M131" s="215" t="str">
        <f t="shared" ref="M131" si="13">K131&amp;L131</f>
        <v>DieselBus</v>
      </c>
      <c r="N131" s="276"/>
      <c r="O131" s="277"/>
      <c r="P131" s="277"/>
      <c r="Q131" s="278"/>
      <c r="R131" s="279"/>
      <c r="S131" s="222">
        <v>0.25320999999999999</v>
      </c>
      <c r="T131" s="388">
        <v>0.25</v>
      </c>
      <c r="U131" s="227" t="s">
        <v>335</v>
      </c>
      <c r="V131" s="227"/>
      <c r="W131" s="218" t="s">
        <v>1100</v>
      </c>
      <c r="X131" s="67"/>
      <c r="Y131" s="67"/>
      <c r="Z131" s="67"/>
      <c r="AA131" s="67"/>
      <c r="AB131" s="67"/>
      <c r="AC131" s="67"/>
    </row>
    <row r="132" spans="2:29" ht="14.25" customHeight="1">
      <c r="B132" s="166"/>
      <c r="C132" s="1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row>
    <row r="133" spans="2:29" ht="14.25" customHeight="1">
      <c r="B133" s="166"/>
      <c r="C133" s="173"/>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row>
    <row r="134" spans="2:29" ht="14.25" customHeight="1">
      <c r="B134" s="166"/>
      <c r="C134" s="173"/>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row>
    <row r="135" spans="2:29" ht="40.35" customHeight="1">
      <c r="B135" s="166"/>
      <c r="C135" s="173"/>
      <c r="D135" s="274" t="str">
        <f>IF($A$2="English",_xlfn.XLOOKUP($A$8,Descriptions!$A:$A,Descriptions!$B:$B),_xlfn.XLOOKUP($A$8,Descriptions!$A:$A,Descriptions!$C:$C))</f>
        <v>Vav 1 - Kølievni</v>
      </c>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67"/>
      <c r="AA135" s="67"/>
      <c r="AB135" s="67"/>
      <c r="AC135" s="67"/>
    </row>
    <row r="136" spans="2:29" ht="14.25" customHeight="1">
      <c r="B136" s="166"/>
      <c r="C136" s="173"/>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row>
    <row r="137" spans="2:29" ht="30" customHeight="1">
      <c r="B137" s="166"/>
      <c r="C137" s="173"/>
      <c r="D137" s="154" t="s">
        <v>144</v>
      </c>
      <c r="E137" s="154" t="s">
        <v>145</v>
      </c>
      <c r="F137" s="154" t="s">
        <v>292</v>
      </c>
      <c r="G137" s="154" t="s">
        <v>293</v>
      </c>
      <c r="H137" s="154" t="s">
        <v>145</v>
      </c>
      <c r="I137" s="154" t="s">
        <v>294</v>
      </c>
      <c r="J137" s="154" t="s">
        <v>295</v>
      </c>
      <c r="K137" s="154" t="s">
        <v>230</v>
      </c>
      <c r="L137" s="154" t="s">
        <v>296</v>
      </c>
      <c r="M137" s="154" t="s">
        <v>185</v>
      </c>
      <c r="N137" s="154" t="s">
        <v>361</v>
      </c>
      <c r="O137" s="154" t="s">
        <v>362</v>
      </c>
      <c r="P137" s="154" t="s">
        <v>363</v>
      </c>
      <c r="Q137" s="154" t="s">
        <v>364</v>
      </c>
      <c r="R137" s="67"/>
      <c r="T137" s="67"/>
      <c r="U137" s="67"/>
      <c r="V137" s="67"/>
      <c r="W137" s="67"/>
      <c r="X137" s="67"/>
      <c r="Y137" s="67"/>
      <c r="Z137" s="67"/>
      <c r="AA137" s="67"/>
      <c r="AB137" s="67"/>
      <c r="AC137" s="67"/>
    </row>
    <row r="138" spans="2:29" ht="14.25" customHeight="1">
      <c r="B138" s="166"/>
      <c r="C138" s="173"/>
      <c r="D138" s="218">
        <v>1</v>
      </c>
      <c r="E138" s="218" t="s">
        <v>365</v>
      </c>
      <c r="F138" s="218" t="str">
        <f t="shared" ref="F138:F170" si="14">D138&amp;" - "&amp;E138</f>
        <v>1 - Refrigerant Use</v>
      </c>
      <c r="G138" s="218" t="s">
        <v>307</v>
      </c>
      <c r="H138" s="218" t="s">
        <v>366</v>
      </c>
      <c r="I138" s="218"/>
      <c r="J138" s="218" t="s">
        <v>308</v>
      </c>
      <c r="K138" s="218" t="s">
        <v>367</v>
      </c>
      <c r="L138" s="218" t="s">
        <v>368</v>
      </c>
      <c r="M138" s="215" t="str">
        <f>K138</f>
        <v>Carbon dioxide</v>
      </c>
      <c r="N138" s="236">
        <v>1</v>
      </c>
      <c r="O138" s="236">
        <v>1</v>
      </c>
      <c r="P138" s="218" t="s">
        <v>369</v>
      </c>
      <c r="Q138" s="218" t="s">
        <v>370</v>
      </c>
      <c r="R138" s="118"/>
      <c r="S138" s="226"/>
      <c r="T138" s="118"/>
      <c r="U138" s="118" t="s">
        <v>226</v>
      </c>
      <c r="V138" s="67"/>
      <c r="W138" s="67"/>
      <c r="X138" s="67"/>
      <c r="Y138" s="67"/>
      <c r="Z138" s="67"/>
      <c r="AA138" s="67"/>
      <c r="AB138" s="67"/>
      <c r="AC138" s="67"/>
    </row>
    <row r="139" spans="2:29" ht="14.25" customHeight="1">
      <c r="B139" s="166"/>
      <c r="C139" s="173"/>
      <c r="D139" s="218">
        <v>1</v>
      </c>
      <c r="E139" s="218" t="s">
        <v>365</v>
      </c>
      <c r="F139" s="218" t="str">
        <f t="shared" si="14"/>
        <v>1 - Refrigerant Use</v>
      </c>
      <c r="G139" s="218" t="s">
        <v>307</v>
      </c>
      <c r="H139" s="218" t="s">
        <v>366</v>
      </c>
      <c r="I139" s="218"/>
      <c r="J139" s="218" t="s">
        <v>308</v>
      </c>
      <c r="K139" s="218" t="s">
        <v>371</v>
      </c>
      <c r="L139" s="218" t="s">
        <v>368</v>
      </c>
      <c r="M139" s="215" t="str">
        <f t="shared" ref="M139:M170" si="15">K139</f>
        <v>Methane</v>
      </c>
      <c r="N139" s="236">
        <v>25</v>
      </c>
      <c r="O139" s="236">
        <v>28</v>
      </c>
      <c r="P139" s="218" t="s">
        <v>369</v>
      </c>
      <c r="Q139" s="218" t="s">
        <v>370</v>
      </c>
      <c r="R139" s="118"/>
      <c r="S139" s="226"/>
      <c r="T139" s="118"/>
      <c r="U139" s="118" t="s">
        <v>226</v>
      </c>
      <c r="V139" s="67"/>
      <c r="W139" s="67"/>
      <c r="X139" s="67"/>
      <c r="Y139" s="67"/>
      <c r="Z139" s="67"/>
      <c r="AA139" s="67"/>
      <c r="AB139" s="67"/>
      <c r="AC139" s="67"/>
    </row>
    <row r="140" spans="2:29" ht="14.25" customHeight="1">
      <c r="B140" s="166"/>
      <c r="C140" s="173"/>
      <c r="D140" s="218">
        <v>1</v>
      </c>
      <c r="E140" s="218" t="s">
        <v>365</v>
      </c>
      <c r="F140" s="218" t="str">
        <f t="shared" si="14"/>
        <v>1 - Refrigerant Use</v>
      </c>
      <c r="G140" s="218" t="s">
        <v>307</v>
      </c>
      <c r="H140" s="218" t="s">
        <v>366</v>
      </c>
      <c r="I140" s="218"/>
      <c r="J140" s="218" t="s">
        <v>308</v>
      </c>
      <c r="K140" s="218" t="s">
        <v>372</v>
      </c>
      <c r="L140" s="218" t="s">
        <v>368</v>
      </c>
      <c r="M140" s="215" t="str">
        <f t="shared" si="15"/>
        <v>Nitrous Oxide</v>
      </c>
      <c r="N140" s="236">
        <v>298</v>
      </c>
      <c r="O140" s="236">
        <v>265</v>
      </c>
      <c r="P140" s="218" t="s">
        <v>369</v>
      </c>
      <c r="Q140" s="218" t="s">
        <v>370</v>
      </c>
      <c r="R140" s="118"/>
      <c r="S140" s="226"/>
      <c r="T140" s="118"/>
      <c r="U140" s="118" t="s">
        <v>226</v>
      </c>
      <c r="V140" s="67"/>
      <c r="W140" s="67"/>
      <c r="X140" s="67"/>
      <c r="Y140" s="67"/>
      <c r="Z140" s="67"/>
      <c r="AA140" s="67"/>
      <c r="AB140" s="67"/>
      <c r="AC140" s="67"/>
    </row>
    <row r="141" spans="2:29" ht="14.25" customHeight="1">
      <c r="B141" s="166"/>
      <c r="C141" s="173"/>
      <c r="D141" s="218">
        <v>1</v>
      </c>
      <c r="E141" s="218" t="s">
        <v>365</v>
      </c>
      <c r="F141" s="218" t="str">
        <f t="shared" si="14"/>
        <v>1 - Refrigerant Use</v>
      </c>
      <c r="G141" s="218" t="s">
        <v>307</v>
      </c>
      <c r="H141" s="218" t="s">
        <v>366</v>
      </c>
      <c r="I141" s="218"/>
      <c r="J141" s="218" t="s">
        <v>308</v>
      </c>
      <c r="K141" s="218" t="s">
        <v>373</v>
      </c>
      <c r="L141" s="218" t="s">
        <v>368</v>
      </c>
      <c r="M141" s="215" t="str">
        <f t="shared" si="15"/>
        <v>HFC-23 (R-23)</v>
      </c>
      <c r="N141" s="236">
        <v>14800</v>
      </c>
      <c r="O141" s="236">
        <v>12400</v>
      </c>
      <c r="P141" s="218" t="s">
        <v>374</v>
      </c>
      <c r="Q141" s="218" t="s">
        <v>370</v>
      </c>
      <c r="R141" s="118"/>
      <c r="S141" s="226"/>
      <c r="T141" s="118"/>
      <c r="U141" s="118" t="s">
        <v>226</v>
      </c>
      <c r="V141" s="67"/>
      <c r="W141" s="67"/>
      <c r="X141" s="67"/>
      <c r="Y141" s="67"/>
      <c r="Z141" s="67"/>
      <c r="AA141" s="67"/>
      <c r="AB141" s="67"/>
      <c r="AC141" s="67"/>
    </row>
    <row r="142" spans="2:29" ht="14.25" customHeight="1">
      <c r="B142" s="166"/>
      <c r="C142" s="173"/>
      <c r="D142" s="218">
        <v>1</v>
      </c>
      <c r="E142" s="218" t="s">
        <v>365</v>
      </c>
      <c r="F142" s="218" t="str">
        <f t="shared" si="14"/>
        <v>1 - Refrigerant Use</v>
      </c>
      <c r="G142" s="218" t="s">
        <v>307</v>
      </c>
      <c r="H142" s="218" t="s">
        <v>366</v>
      </c>
      <c r="I142" s="218"/>
      <c r="J142" s="218" t="s">
        <v>308</v>
      </c>
      <c r="K142" s="218" t="s">
        <v>375</v>
      </c>
      <c r="L142" s="218" t="s">
        <v>368</v>
      </c>
      <c r="M142" s="215" t="str">
        <f t="shared" si="15"/>
        <v>HFC-32 (R-32)</v>
      </c>
      <c r="N142" s="236">
        <v>675</v>
      </c>
      <c r="O142" s="236">
        <v>677</v>
      </c>
      <c r="P142" s="218" t="s">
        <v>374</v>
      </c>
      <c r="Q142" s="218" t="s">
        <v>370</v>
      </c>
      <c r="R142" s="118"/>
      <c r="S142" s="226"/>
      <c r="T142" s="118"/>
      <c r="U142" s="118" t="s">
        <v>226</v>
      </c>
      <c r="V142" s="67"/>
      <c r="W142" s="67"/>
      <c r="X142" s="67"/>
      <c r="Y142" s="67"/>
      <c r="Z142" s="67"/>
      <c r="AA142" s="67"/>
      <c r="AB142" s="67"/>
      <c r="AC142" s="67"/>
    </row>
    <row r="143" spans="2:29" ht="14.25" customHeight="1">
      <c r="B143" s="166"/>
      <c r="C143" s="173"/>
      <c r="D143" s="218">
        <v>1</v>
      </c>
      <c r="E143" s="218" t="s">
        <v>365</v>
      </c>
      <c r="F143" s="218" t="str">
        <f t="shared" si="14"/>
        <v>1 - Refrigerant Use</v>
      </c>
      <c r="G143" s="218" t="s">
        <v>307</v>
      </c>
      <c r="H143" s="218" t="s">
        <v>366</v>
      </c>
      <c r="I143" s="218"/>
      <c r="J143" s="218" t="s">
        <v>308</v>
      </c>
      <c r="K143" s="218" t="s">
        <v>376</v>
      </c>
      <c r="L143" s="218" t="s">
        <v>368</v>
      </c>
      <c r="M143" s="215" t="str">
        <f t="shared" si="15"/>
        <v>HFC-41 (R-41)</v>
      </c>
      <c r="N143" s="236">
        <v>92</v>
      </c>
      <c r="O143" s="236">
        <v>116</v>
      </c>
      <c r="P143" s="218" t="s">
        <v>369</v>
      </c>
      <c r="Q143" s="218" t="s">
        <v>370</v>
      </c>
      <c r="R143" s="118"/>
      <c r="S143" s="226"/>
      <c r="T143" s="118"/>
      <c r="U143" s="118" t="s">
        <v>226</v>
      </c>
      <c r="V143" s="67"/>
      <c r="W143" s="67"/>
      <c r="X143" s="67"/>
      <c r="Y143" s="67"/>
      <c r="Z143" s="67"/>
      <c r="AA143" s="67"/>
      <c r="AB143" s="67"/>
      <c r="AC143" s="67"/>
    </row>
    <row r="144" spans="2:29" ht="14.25" customHeight="1">
      <c r="B144" s="166"/>
      <c r="C144" s="173"/>
      <c r="D144" s="218">
        <v>1</v>
      </c>
      <c r="E144" s="218" t="s">
        <v>365</v>
      </c>
      <c r="F144" s="218" t="str">
        <f t="shared" si="14"/>
        <v>1 - Refrigerant Use</v>
      </c>
      <c r="G144" s="218" t="s">
        <v>307</v>
      </c>
      <c r="H144" s="218" t="s">
        <v>366</v>
      </c>
      <c r="I144" s="218"/>
      <c r="J144" s="218" t="s">
        <v>308</v>
      </c>
      <c r="K144" s="218" t="s">
        <v>377</v>
      </c>
      <c r="L144" s="218" t="s">
        <v>368</v>
      </c>
      <c r="M144" s="215" t="str">
        <f t="shared" si="15"/>
        <v>HFC-125 (R-125)</v>
      </c>
      <c r="N144" s="236">
        <v>3500</v>
      </c>
      <c r="O144" s="236">
        <v>3170</v>
      </c>
      <c r="P144" s="218" t="s">
        <v>374</v>
      </c>
      <c r="Q144" s="218" t="s">
        <v>370</v>
      </c>
      <c r="R144" s="118"/>
      <c r="S144" s="226"/>
      <c r="T144" s="118"/>
      <c r="U144" s="118" t="s">
        <v>226</v>
      </c>
      <c r="V144" s="67"/>
      <c r="W144" s="67"/>
      <c r="X144" s="67"/>
      <c r="Y144" s="67"/>
      <c r="Z144" s="67"/>
      <c r="AA144" s="67"/>
      <c r="AB144" s="67"/>
      <c r="AC144" s="67"/>
    </row>
    <row r="145" spans="2:29" ht="14.25" customHeight="1">
      <c r="B145" s="166"/>
      <c r="C145" s="173"/>
      <c r="D145" s="218">
        <v>1</v>
      </c>
      <c r="E145" s="218" t="s">
        <v>365</v>
      </c>
      <c r="F145" s="218" t="str">
        <f t="shared" si="14"/>
        <v>1 - Refrigerant Use</v>
      </c>
      <c r="G145" s="218" t="s">
        <v>307</v>
      </c>
      <c r="H145" s="218" t="s">
        <v>366</v>
      </c>
      <c r="I145" s="218"/>
      <c r="J145" s="218" t="s">
        <v>308</v>
      </c>
      <c r="K145" s="218" t="s">
        <v>378</v>
      </c>
      <c r="L145" s="218" t="s">
        <v>368</v>
      </c>
      <c r="M145" s="215" t="str">
        <f t="shared" si="15"/>
        <v>HFC-134 (R-134)</v>
      </c>
      <c r="N145" s="236">
        <v>1100</v>
      </c>
      <c r="O145" s="236">
        <v>1120</v>
      </c>
      <c r="P145" s="218" t="s">
        <v>369</v>
      </c>
      <c r="Q145" s="218" t="s">
        <v>370</v>
      </c>
      <c r="R145" s="118"/>
      <c r="S145" s="226"/>
      <c r="T145" s="118"/>
      <c r="U145" s="118" t="s">
        <v>226</v>
      </c>
      <c r="V145" s="67"/>
      <c r="W145" s="67"/>
      <c r="X145" s="67"/>
      <c r="Y145" s="67"/>
      <c r="Z145" s="67"/>
      <c r="AA145" s="67"/>
      <c r="AB145" s="67"/>
      <c r="AC145" s="67"/>
    </row>
    <row r="146" spans="2:29" ht="14.25" customHeight="1">
      <c r="B146" s="166"/>
      <c r="C146" s="173"/>
      <c r="D146" s="218">
        <v>1</v>
      </c>
      <c r="E146" s="218" t="s">
        <v>365</v>
      </c>
      <c r="F146" s="218" t="str">
        <f t="shared" si="14"/>
        <v>1 - Refrigerant Use</v>
      </c>
      <c r="G146" s="218" t="s">
        <v>307</v>
      </c>
      <c r="H146" s="218" t="s">
        <v>366</v>
      </c>
      <c r="I146" s="218"/>
      <c r="J146" s="218" t="s">
        <v>308</v>
      </c>
      <c r="K146" s="218" t="s">
        <v>225</v>
      </c>
      <c r="L146" s="218" t="s">
        <v>368</v>
      </c>
      <c r="M146" s="215" t="str">
        <f t="shared" si="15"/>
        <v>HFC-134a (R-134a)</v>
      </c>
      <c r="N146" s="236">
        <v>1430</v>
      </c>
      <c r="O146" s="236">
        <v>1300</v>
      </c>
      <c r="P146" s="218" t="s">
        <v>369</v>
      </c>
      <c r="Q146" s="218" t="s">
        <v>370</v>
      </c>
      <c r="R146" s="118"/>
      <c r="S146" s="226"/>
      <c r="T146" s="118"/>
      <c r="U146" s="118" t="s">
        <v>226</v>
      </c>
      <c r="V146" s="67"/>
      <c r="W146" s="67"/>
      <c r="X146" s="67"/>
      <c r="Y146" s="67"/>
      <c r="Z146" s="67"/>
      <c r="AA146" s="67"/>
      <c r="AB146" s="67"/>
      <c r="AC146" s="67"/>
    </row>
    <row r="147" spans="2:29" ht="14.25" customHeight="1">
      <c r="B147" s="166"/>
      <c r="C147" s="173"/>
      <c r="D147" s="218">
        <v>1</v>
      </c>
      <c r="E147" s="218" t="s">
        <v>365</v>
      </c>
      <c r="F147" s="218" t="str">
        <f t="shared" si="14"/>
        <v>1 - Refrigerant Use</v>
      </c>
      <c r="G147" s="218" t="s">
        <v>307</v>
      </c>
      <c r="H147" s="218" t="s">
        <v>366</v>
      </c>
      <c r="I147" s="218"/>
      <c r="J147" s="218" t="s">
        <v>308</v>
      </c>
      <c r="K147" s="218" t="s">
        <v>227</v>
      </c>
      <c r="L147" s="218" t="s">
        <v>368</v>
      </c>
      <c r="M147" s="215" t="str">
        <f t="shared" si="15"/>
        <v>HFC-143 (R-143)</v>
      </c>
      <c r="N147" s="236">
        <v>353</v>
      </c>
      <c r="O147" s="236">
        <v>328</v>
      </c>
      <c r="P147" s="218" t="s">
        <v>369</v>
      </c>
      <c r="Q147" s="218" t="s">
        <v>370</v>
      </c>
      <c r="R147" s="118"/>
      <c r="S147" s="226"/>
      <c r="T147" s="118"/>
      <c r="U147" s="118" t="s">
        <v>226</v>
      </c>
      <c r="V147" s="67"/>
      <c r="W147" s="67"/>
      <c r="X147" s="67"/>
      <c r="Y147" s="67"/>
      <c r="Z147" s="67"/>
      <c r="AA147" s="67"/>
      <c r="AB147" s="67"/>
      <c r="AC147" s="67"/>
    </row>
    <row r="148" spans="2:29" ht="14.25" customHeight="1">
      <c r="B148" s="166"/>
      <c r="C148" s="173"/>
      <c r="D148" s="218">
        <v>1</v>
      </c>
      <c r="E148" s="218" t="s">
        <v>365</v>
      </c>
      <c r="F148" s="218" t="str">
        <f t="shared" si="14"/>
        <v>1 - Refrigerant Use</v>
      </c>
      <c r="G148" s="218" t="s">
        <v>307</v>
      </c>
      <c r="H148" s="218" t="s">
        <v>366</v>
      </c>
      <c r="I148" s="218"/>
      <c r="J148" s="218" t="s">
        <v>308</v>
      </c>
      <c r="K148" s="218" t="s">
        <v>379</v>
      </c>
      <c r="L148" s="218" t="s">
        <v>368</v>
      </c>
      <c r="M148" s="215" t="str">
        <f t="shared" si="15"/>
        <v>HFC-143a (R-143a)</v>
      </c>
      <c r="N148" s="236">
        <v>4470</v>
      </c>
      <c r="O148" s="236">
        <v>4800</v>
      </c>
      <c r="P148" s="218" t="s">
        <v>374</v>
      </c>
      <c r="Q148" s="218" t="s">
        <v>370</v>
      </c>
      <c r="R148" s="118"/>
      <c r="S148" s="226"/>
      <c r="T148" s="118"/>
      <c r="U148" s="118" t="s">
        <v>226</v>
      </c>
      <c r="V148" s="67"/>
      <c r="W148" s="67"/>
      <c r="X148" s="67"/>
      <c r="Y148" s="67"/>
      <c r="Z148" s="67"/>
      <c r="AA148" s="67"/>
      <c r="AB148" s="67"/>
      <c r="AC148" s="67"/>
    </row>
    <row r="149" spans="2:29" ht="14.25" customHeight="1">
      <c r="B149" s="166"/>
      <c r="C149" s="173"/>
      <c r="D149" s="218">
        <v>1</v>
      </c>
      <c r="E149" s="218" t="s">
        <v>365</v>
      </c>
      <c r="F149" s="218" t="str">
        <f t="shared" si="14"/>
        <v>1 - Refrigerant Use</v>
      </c>
      <c r="G149" s="218" t="s">
        <v>307</v>
      </c>
      <c r="H149" s="218" t="s">
        <v>366</v>
      </c>
      <c r="I149" s="218"/>
      <c r="J149" s="218" t="s">
        <v>308</v>
      </c>
      <c r="K149" s="218" t="s">
        <v>380</v>
      </c>
      <c r="L149" s="218" t="s">
        <v>368</v>
      </c>
      <c r="M149" s="215" t="str">
        <f t="shared" si="15"/>
        <v>HFC-152 (R-152)</v>
      </c>
      <c r="N149" s="236">
        <v>53</v>
      </c>
      <c r="O149" s="236">
        <v>16</v>
      </c>
      <c r="P149" s="218" t="s">
        <v>369</v>
      </c>
      <c r="Q149" s="218" t="s">
        <v>370</v>
      </c>
      <c r="R149" s="118"/>
      <c r="S149" s="226"/>
      <c r="T149" s="118"/>
      <c r="U149" s="118" t="s">
        <v>226</v>
      </c>
      <c r="V149" s="67"/>
      <c r="W149" s="67"/>
      <c r="X149" s="67"/>
      <c r="Y149" s="67"/>
      <c r="Z149" s="67"/>
      <c r="AA149" s="67"/>
      <c r="AB149" s="67"/>
      <c r="AC149" s="67"/>
    </row>
    <row r="150" spans="2:29" ht="14.25" customHeight="1">
      <c r="B150" s="166"/>
      <c r="C150" s="173"/>
      <c r="D150" s="218">
        <v>1</v>
      </c>
      <c r="E150" s="218" t="s">
        <v>365</v>
      </c>
      <c r="F150" s="218" t="str">
        <f t="shared" si="14"/>
        <v>1 - Refrigerant Use</v>
      </c>
      <c r="G150" s="218" t="s">
        <v>307</v>
      </c>
      <c r="H150" s="218" t="s">
        <v>366</v>
      </c>
      <c r="I150" s="218"/>
      <c r="J150" s="218" t="s">
        <v>308</v>
      </c>
      <c r="K150" s="218" t="s">
        <v>381</v>
      </c>
      <c r="L150" s="218" t="s">
        <v>368</v>
      </c>
      <c r="M150" s="215" t="str">
        <f t="shared" si="15"/>
        <v>HFC-152a (R-152a)</v>
      </c>
      <c r="N150" s="236">
        <v>124</v>
      </c>
      <c r="O150" s="236">
        <v>138</v>
      </c>
      <c r="P150" s="218" t="s">
        <v>369</v>
      </c>
      <c r="Q150" s="218" t="s">
        <v>370</v>
      </c>
      <c r="R150" s="118"/>
      <c r="S150" s="226"/>
      <c r="T150" s="118"/>
      <c r="U150" s="118" t="s">
        <v>226</v>
      </c>
      <c r="V150" s="67"/>
      <c r="W150" s="67"/>
      <c r="X150" s="67"/>
      <c r="Y150" s="67"/>
      <c r="Z150" s="67"/>
      <c r="AA150" s="67"/>
      <c r="AB150" s="67"/>
      <c r="AC150" s="67"/>
    </row>
    <row r="151" spans="2:29" ht="14.25" customHeight="1">
      <c r="B151" s="166"/>
      <c r="C151" s="173"/>
      <c r="D151" s="218">
        <v>1</v>
      </c>
      <c r="E151" s="218" t="s">
        <v>365</v>
      </c>
      <c r="F151" s="218" t="str">
        <f t="shared" si="14"/>
        <v>1 - Refrigerant Use</v>
      </c>
      <c r="G151" s="218" t="s">
        <v>307</v>
      </c>
      <c r="H151" s="218" t="s">
        <v>366</v>
      </c>
      <c r="I151" s="218"/>
      <c r="J151" s="218" t="s">
        <v>308</v>
      </c>
      <c r="K151" s="218" t="s">
        <v>382</v>
      </c>
      <c r="L151" s="218" t="s">
        <v>368</v>
      </c>
      <c r="M151" s="215" t="str">
        <f t="shared" si="15"/>
        <v>R404A</v>
      </c>
      <c r="N151" s="236">
        <v>3922</v>
      </c>
      <c r="O151" s="236">
        <v>3943</v>
      </c>
      <c r="P151" s="218" t="s">
        <v>369</v>
      </c>
      <c r="Q151" s="218" t="s">
        <v>370</v>
      </c>
      <c r="R151" s="118"/>
      <c r="S151" s="226"/>
      <c r="T151" s="118"/>
      <c r="U151" s="118" t="s">
        <v>226</v>
      </c>
      <c r="V151" s="67"/>
      <c r="W151" s="67"/>
      <c r="X151" s="67"/>
      <c r="Y151" s="67"/>
      <c r="Z151" s="67"/>
      <c r="AA151" s="67"/>
      <c r="AB151" s="67"/>
      <c r="AC151" s="67"/>
    </row>
    <row r="152" spans="2:29" ht="14.25" customHeight="1">
      <c r="B152" s="166"/>
      <c r="C152" s="173"/>
      <c r="D152" s="218">
        <v>1</v>
      </c>
      <c r="E152" s="218" t="s">
        <v>365</v>
      </c>
      <c r="F152" s="218" t="str">
        <f t="shared" si="14"/>
        <v>1 - Refrigerant Use</v>
      </c>
      <c r="G152" s="218" t="s">
        <v>307</v>
      </c>
      <c r="H152" s="218" t="s">
        <v>366</v>
      </c>
      <c r="I152" s="218"/>
      <c r="J152" s="218" t="s">
        <v>308</v>
      </c>
      <c r="K152" s="218" t="s">
        <v>383</v>
      </c>
      <c r="L152" s="218" t="s">
        <v>368</v>
      </c>
      <c r="M152" s="215" t="str">
        <f t="shared" si="15"/>
        <v>R407A</v>
      </c>
      <c r="N152" s="236">
        <v>2107</v>
      </c>
      <c r="O152" s="236">
        <v>1923</v>
      </c>
      <c r="P152" s="218" t="s">
        <v>369</v>
      </c>
      <c r="Q152" s="218" t="s">
        <v>374</v>
      </c>
      <c r="R152" s="118"/>
      <c r="S152" s="226"/>
      <c r="T152" s="118"/>
      <c r="U152" s="118" t="s">
        <v>226</v>
      </c>
      <c r="V152" s="67"/>
      <c r="W152" s="67"/>
      <c r="X152" s="67"/>
      <c r="Y152" s="67"/>
      <c r="Z152" s="67"/>
      <c r="AA152" s="67"/>
      <c r="AB152" s="67"/>
      <c r="AC152" s="67"/>
    </row>
    <row r="153" spans="2:29" ht="14.25" customHeight="1">
      <c r="B153" s="166"/>
      <c r="C153" s="173"/>
      <c r="D153" s="218">
        <v>1</v>
      </c>
      <c r="E153" s="218" t="s">
        <v>365</v>
      </c>
      <c r="F153" s="218" t="str">
        <f t="shared" si="14"/>
        <v>1 - Refrigerant Use</v>
      </c>
      <c r="G153" s="218" t="s">
        <v>307</v>
      </c>
      <c r="H153" s="218" t="s">
        <v>366</v>
      </c>
      <c r="I153" s="218"/>
      <c r="J153" s="218" t="s">
        <v>308</v>
      </c>
      <c r="K153" s="218" t="s">
        <v>384</v>
      </c>
      <c r="L153" s="218" t="s">
        <v>368</v>
      </c>
      <c r="M153" s="215" t="str">
        <f t="shared" si="15"/>
        <v>R407C</v>
      </c>
      <c r="N153" s="236">
        <v>1774</v>
      </c>
      <c r="O153" s="236">
        <v>1624</v>
      </c>
      <c r="P153" s="218" t="s">
        <v>369</v>
      </c>
      <c r="Q153" s="218" t="s">
        <v>374</v>
      </c>
      <c r="R153" s="118"/>
      <c r="S153" s="226"/>
      <c r="T153" s="118"/>
      <c r="U153" s="118" t="s">
        <v>226</v>
      </c>
      <c r="V153" s="67"/>
      <c r="W153" s="67"/>
      <c r="X153" s="67"/>
      <c r="Y153" s="67"/>
      <c r="Z153" s="67"/>
      <c r="AA153" s="67"/>
      <c r="AB153" s="67"/>
      <c r="AC153" s="67"/>
    </row>
    <row r="154" spans="2:29" ht="14.25" customHeight="1">
      <c r="B154" s="166"/>
      <c r="C154" s="173"/>
      <c r="D154" s="218">
        <v>1</v>
      </c>
      <c r="E154" s="218" t="s">
        <v>365</v>
      </c>
      <c r="F154" s="218" t="str">
        <f t="shared" si="14"/>
        <v>1 - Refrigerant Use</v>
      </c>
      <c r="G154" s="218" t="s">
        <v>307</v>
      </c>
      <c r="H154" s="218" t="s">
        <v>366</v>
      </c>
      <c r="I154" s="218"/>
      <c r="J154" s="218" t="s">
        <v>308</v>
      </c>
      <c r="K154" s="218" t="s">
        <v>385</v>
      </c>
      <c r="L154" s="218" t="s">
        <v>368</v>
      </c>
      <c r="M154" s="215" t="str">
        <f t="shared" si="15"/>
        <v>R407F</v>
      </c>
      <c r="N154" s="236">
        <v>1825</v>
      </c>
      <c r="O154" s="236">
        <v>1674</v>
      </c>
      <c r="P154" s="218" t="s">
        <v>369</v>
      </c>
      <c r="Q154" s="218" t="s">
        <v>374</v>
      </c>
      <c r="R154" s="118"/>
      <c r="S154" s="226"/>
      <c r="T154" s="118"/>
      <c r="U154" s="118" t="s">
        <v>226</v>
      </c>
      <c r="V154" s="67"/>
      <c r="W154" s="67"/>
      <c r="X154" s="67"/>
      <c r="Y154" s="67"/>
      <c r="Z154" s="67"/>
      <c r="AA154" s="67"/>
      <c r="AB154" s="67"/>
      <c r="AC154" s="67"/>
    </row>
    <row r="155" spans="2:29" ht="14.25" customHeight="1">
      <c r="B155" s="166"/>
      <c r="C155" s="173"/>
      <c r="D155" s="218">
        <v>1</v>
      </c>
      <c r="E155" s="218" t="s">
        <v>365</v>
      </c>
      <c r="F155" s="218" t="str">
        <f t="shared" si="14"/>
        <v>1 - Refrigerant Use</v>
      </c>
      <c r="G155" s="218" t="s">
        <v>307</v>
      </c>
      <c r="H155" s="218" t="s">
        <v>366</v>
      </c>
      <c r="I155" s="218"/>
      <c r="J155" s="218" t="s">
        <v>308</v>
      </c>
      <c r="K155" s="218" t="s">
        <v>386</v>
      </c>
      <c r="L155" s="218" t="s">
        <v>368</v>
      </c>
      <c r="M155" s="215" t="str">
        <f t="shared" si="15"/>
        <v>R408A</v>
      </c>
      <c r="N155" s="236">
        <v>3152</v>
      </c>
      <c r="O155" s="236">
        <v>2430</v>
      </c>
      <c r="P155" s="218" t="s">
        <v>369</v>
      </c>
      <c r="Q155" s="218" t="s">
        <v>374</v>
      </c>
      <c r="R155" s="118"/>
      <c r="S155" s="226"/>
      <c r="T155" s="118"/>
      <c r="U155" s="118" t="s">
        <v>226</v>
      </c>
      <c r="V155" s="67"/>
      <c r="W155" s="67"/>
      <c r="X155" s="67"/>
      <c r="Y155" s="67"/>
      <c r="Z155" s="67"/>
      <c r="AA155" s="67"/>
      <c r="AB155" s="67"/>
      <c r="AC155" s="67"/>
    </row>
    <row r="156" spans="2:29" ht="14.25" customHeight="1">
      <c r="B156" s="166"/>
      <c r="C156" s="173"/>
      <c r="D156" s="218">
        <v>1</v>
      </c>
      <c r="E156" s="218" t="s">
        <v>365</v>
      </c>
      <c r="F156" s="218" t="str">
        <f t="shared" si="14"/>
        <v>1 - Refrigerant Use</v>
      </c>
      <c r="G156" s="218" t="s">
        <v>307</v>
      </c>
      <c r="H156" s="218" t="s">
        <v>366</v>
      </c>
      <c r="I156" s="218"/>
      <c r="J156" s="218" t="s">
        <v>308</v>
      </c>
      <c r="K156" s="218" t="s">
        <v>387</v>
      </c>
      <c r="L156" s="218" t="s">
        <v>368</v>
      </c>
      <c r="M156" s="215" t="str">
        <f t="shared" si="15"/>
        <v>R410A</v>
      </c>
      <c r="N156" s="236">
        <v>2088</v>
      </c>
      <c r="O156" s="236">
        <v>1924</v>
      </c>
      <c r="P156" s="218" t="s">
        <v>369</v>
      </c>
      <c r="Q156" s="218" t="s">
        <v>374</v>
      </c>
      <c r="R156" s="118"/>
      <c r="S156" s="226"/>
      <c r="T156" s="118"/>
      <c r="U156" s="118" t="s">
        <v>226</v>
      </c>
      <c r="V156" s="67"/>
      <c r="W156" s="67"/>
      <c r="X156" s="67"/>
      <c r="Y156" s="67"/>
      <c r="Z156" s="67"/>
      <c r="AA156" s="67"/>
      <c r="AB156" s="67"/>
      <c r="AC156" s="67"/>
    </row>
    <row r="157" spans="2:29" ht="14.25" customHeight="1">
      <c r="B157" s="166"/>
      <c r="C157" s="173"/>
      <c r="D157" s="218">
        <v>1</v>
      </c>
      <c r="E157" s="218" t="s">
        <v>365</v>
      </c>
      <c r="F157" s="218" t="str">
        <f t="shared" si="14"/>
        <v>1 - Refrigerant Use</v>
      </c>
      <c r="G157" s="218" t="s">
        <v>307</v>
      </c>
      <c r="H157" s="218" t="s">
        <v>366</v>
      </c>
      <c r="I157" s="218"/>
      <c r="J157" s="218" t="s">
        <v>308</v>
      </c>
      <c r="K157" s="218" t="s">
        <v>388</v>
      </c>
      <c r="L157" s="218" t="s">
        <v>368</v>
      </c>
      <c r="M157" s="215" t="str">
        <f t="shared" si="15"/>
        <v>R507A</v>
      </c>
      <c r="N157" s="236">
        <v>3985</v>
      </c>
      <c r="O157" s="236">
        <v>3985</v>
      </c>
      <c r="P157" s="218" t="s">
        <v>369</v>
      </c>
      <c r="Q157" s="218" t="s">
        <v>374</v>
      </c>
      <c r="R157" s="118"/>
      <c r="S157" s="226"/>
      <c r="T157" s="118"/>
      <c r="U157" s="118" t="s">
        <v>226</v>
      </c>
      <c r="V157" s="67"/>
      <c r="W157" s="67"/>
      <c r="X157" s="67"/>
      <c r="Y157" s="67"/>
      <c r="Z157" s="67"/>
      <c r="AA157" s="67"/>
      <c r="AB157" s="67"/>
      <c r="AC157" s="67"/>
    </row>
    <row r="158" spans="2:29" ht="14.25" customHeight="1">
      <c r="B158" s="166"/>
      <c r="C158" s="173"/>
      <c r="D158" s="218">
        <v>1</v>
      </c>
      <c r="E158" s="218" t="s">
        <v>365</v>
      </c>
      <c r="F158" s="218" t="str">
        <f t="shared" si="14"/>
        <v>1 - Refrigerant Use</v>
      </c>
      <c r="G158" s="218" t="s">
        <v>307</v>
      </c>
      <c r="H158" s="218" t="s">
        <v>366</v>
      </c>
      <c r="I158" s="218"/>
      <c r="J158" s="218" t="s">
        <v>308</v>
      </c>
      <c r="K158" s="218" t="s">
        <v>389</v>
      </c>
      <c r="L158" s="218" t="s">
        <v>368</v>
      </c>
      <c r="M158" s="215" t="str">
        <f t="shared" si="15"/>
        <v>R508B</v>
      </c>
      <c r="N158" s="236">
        <v>13396</v>
      </c>
      <c r="O158" s="236">
        <v>11698</v>
      </c>
      <c r="P158" s="218" t="s">
        <v>369</v>
      </c>
      <c r="Q158" s="218" t="s">
        <v>374</v>
      </c>
      <c r="R158" s="118"/>
      <c r="S158" s="226"/>
      <c r="T158" s="118"/>
      <c r="U158" s="118" t="s">
        <v>226</v>
      </c>
      <c r="V158" s="67"/>
      <c r="W158" s="67"/>
      <c r="X158" s="67"/>
      <c r="Y158" s="67"/>
      <c r="Z158" s="67"/>
      <c r="AA158" s="67"/>
      <c r="AB158" s="67"/>
      <c r="AC158" s="67"/>
    </row>
    <row r="159" spans="2:29" ht="14.25" customHeight="1">
      <c r="B159" s="166"/>
      <c r="C159" s="173"/>
      <c r="D159" s="218">
        <v>1</v>
      </c>
      <c r="E159" s="218" t="s">
        <v>365</v>
      </c>
      <c r="F159" s="218" t="str">
        <f t="shared" si="14"/>
        <v>1 - Refrigerant Use</v>
      </c>
      <c r="G159" s="218" t="s">
        <v>307</v>
      </c>
      <c r="H159" s="218" t="s">
        <v>366</v>
      </c>
      <c r="I159" s="218"/>
      <c r="J159" s="218" t="s">
        <v>308</v>
      </c>
      <c r="K159" s="218" t="s">
        <v>390</v>
      </c>
      <c r="L159" s="218" t="s">
        <v>368</v>
      </c>
      <c r="M159" s="215" t="str">
        <f t="shared" si="15"/>
        <v>R403A</v>
      </c>
      <c r="N159" s="236">
        <v>1766</v>
      </c>
      <c r="O159" s="236">
        <v>1780</v>
      </c>
      <c r="P159" s="218" t="s">
        <v>391</v>
      </c>
      <c r="Q159" s="218" t="s">
        <v>374</v>
      </c>
      <c r="R159" s="118"/>
      <c r="S159" s="226"/>
      <c r="T159" s="118"/>
      <c r="U159" s="118" t="s">
        <v>226</v>
      </c>
      <c r="V159" s="67"/>
      <c r="W159" s="67"/>
      <c r="X159" s="67"/>
      <c r="Y159" s="67"/>
      <c r="Z159" s="67"/>
      <c r="AA159" s="67"/>
      <c r="AB159" s="67"/>
      <c r="AC159" s="67"/>
    </row>
    <row r="160" spans="2:29" ht="14.25" customHeight="1">
      <c r="B160" s="166"/>
      <c r="C160" s="173"/>
      <c r="D160" s="218">
        <v>1</v>
      </c>
      <c r="E160" s="218" t="s">
        <v>365</v>
      </c>
      <c r="F160" s="218" t="str">
        <f t="shared" si="14"/>
        <v>1 - Refrigerant Use</v>
      </c>
      <c r="G160" s="218" t="s">
        <v>307</v>
      </c>
      <c r="H160" s="218" t="s">
        <v>366</v>
      </c>
      <c r="I160" s="218"/>
      <c r="J160" s="218" t="s">
        <v>308</v>
      </c>
      <c r="K160" s="218" t="s">
        <v>392</v>
      </c>
      <c r="L160" s="218" t="s">
        <v>368</v>
      </c>
      <c r="M160" s="215" t="str">
        <f t="shared" si="15"/>
        <v>R-402A</v>
      </c>
      <c r="N160" s="236">
        <v>2100</v>
      </c>
      <c r="O160" s="236">
        <v>1902</v>
      </c>
      <c r="P160" s="218" t="s">
        <v>391</v>
      </c>
      <c r="Q160" s="218" t="s">
        <v>374</v>
      </c>
      <c r="R160" s="118"/>
      <c r="S160" s="226"/>
      <c r="T160" s="118"/>
      <c r="U160" s="118" t="s">
        <v>226</v>
      </c>
      <c r="V160" s="67"/>
      <c r="W160" s="67"/>
      <c r="X160" s="67"/>
      <c r="Y160" s="67"/>
      <c r="Z160" s="67"/>
      <c r="AA160" s="67"/>
      <c r="AB160" s="67"/>
      <c r="AC160" s="67"/>
    </row>
    <row r="161" spans="2:29" ht="14.25" customHeight="1">
      <c r="B161" s="166"/>
      <c r="C161" s="173"/>
      <c r="D161" s="218">
        <v>1</v>
      </c>
      <c r="E161" s="218" t="s">
        <v>365</v>
      </c>
      <c r="F161" s="218" t="str">
        <f t="shared" si="14"/>
        <v>1 - Refrigerant Use</v>
      </c>
      <c r="G161" s="218" t="s">
        <v>307</v>
      </c>
      <c r="H161" s="218" t="s">
        <v>366</v>
      </c>
      <c r="I161" s="218"/>
      <c r="J161" s="218" t="s">
        <v>308</v>
      </c>
      <c r="K161" s="218" t="s">
        <v>393</v>
      </c>
      <c r="L161" s="218" t="s">
        <v>368</v>
      </c>
      <c r="M161" s="215" t="str">
        <f t="shared" si="15"/>
        <v>R-403A</v>
      </c>
      <c r="N161" s="236">
        <v>1766</v>
      </c>
      <c r="O161" s="236">
        <v>1780</v>
      </c>
      <c r="P161" s="218" t="s">
        <v>391</v>
      </c>
      <c r="Q161" s="218" t="s">
        <v>374</v>
      </c>
      <c r="R161" s="118"/>
      <c r="S161" s="226"/>
      <c r="T161" s="118"/>
      <c r="U161" s="118" t="s">
        <v>226</v>
      </c>
      <c r="V161" s="67"/>
      <c r="W161" s="67"/>
      <c r="X161" s="67"/>
      <c r="Y161" s="67"/>
      <c r="Z161" s="67"/>
      <c r="AA161" s="67"/>
      <c r="AB161" s="67"/>
      <c r="AC161" s="67"/>
    </row>
    <row r="162" spans="2:29" ht="14.25" customHeight="1">
      <c r="B162" s="166"/>
      <c r="C162" s="173"/>
      <c r="D162" s="218">
        <v>1</v>
      </c>
      <c r="E162" s="218" t="s">
        <v>365</v>
      </c>
      <c r="F162" s="218" t="str">
        <f t="shared" si="14"/>
        <v>1 - Refrigerant Use</v>
      </c>
      <c r="G162" s="218" t="s">
        <v>307</v>
      </c>
      <c r="H162" s="218" t="s">
        <v>394</v>
      </c>
      <c r="I162" s="218"/>
      <c r="J162" s="218" t="s">
        <v>308</v>
      </c>
      <c r="K162" s="218" t="s">
        <v>395</v>
      </c>
      <c r="L162" s="218" t="s">
        <v>368</v>
      </c>
      <c r="M162" s="215" t="str">
        <f t="shared" si="15"/>
        <v>R-404A</v>
      </c>
      <c r="N162" s="236">
        <v>3922</v>
      </c>
      <c r="O162" s="236">
        <v>3943</v>
      </c>
      <c r="P162" s="218" t="s">
        <v>391</v>
      </c>
      <c r="Q162" s="218" t="s">
        <v>374</v>
      </c>
      <c r="R162" s="118"/>
      <c r="S162" s="226"/>
      <c r="T162" s="118"/>
      <c r="U162" s="118" t="s">
        <v>226</v>
      </c>
      <c r="V162" s="67"/>
      <c r="W162" s="67"/>
      <c r="X162" s="67"/>
      <c r="Y162" s="67"/>
      <c r="Z162" s="67"/>
      <c r="AA162" s="67"/>
      <c r="AB162" s="67"/>
      <c r="AC162" s="67"/>
    </row>
    <row r="163" spans="2:29" ht="14.25" customHeight="1">
      <c r="B163" s="166"/>
      <c r="C163" s="173"/>
      <c r="D163" s="218">
        <v>1</v>
      </c>
      <c r="E163" s="218" t="s">
        <v>365</v>
      </c>
      <c r="F163" s="218" t="str">
        <f t="shared" si="14"/>
        <v>1 - Refrigerant Use</v>
      </c>
      <c r="G163" s="218" t="s">
        <v>307</v>
      </c>
      <c r="H163" s="218" t="s">
        <v>394</v>
      </c>
      <c r="I163" s="218"/>
      <c r="J163" s="218" t="s">
        <v>308</v>
      </c>
      <c r="K163" s="218" t="s">
        <v>396</v>
      </c>
      <c r="L163" s="218" t="s">
        <v>368</v>
      </c>
      <c r="M163" s="215" t="str">
        <f t="shared" si="15"/>
        <v>R-407A</v>
      </c>
      <c r="N163" s="236">
        <v>2107</v>
      </c>
      <c r="O163" s="236">
        <v>1923</v>
      </c>
      <c r="P163" s="218" t="s">
        <v>391</v>
      </c>
      <c r="Q163" s="218" t="s">
        <v>374</v>
      </c>
      <c r="R163" s="118"/>
      <c r="S163" s="226"/>
      <c r="T163" s="118"/>
      <c r="U163" s="118" t="s">
        <v>226</v>
      </c>
      <c r="V163" s="67"/>
      <c r="W163" s="67"/>
      <c r="X163" s="67"/>
      <c r="Y163" s="67"/>
      <c r="Z163" s="67"/>
      <c r="AA163" s="67"/>
      <c r="AB163" s="67"/>
      <c r="AC163" s="67"/>
    </row>
    <row r="164" spans="2:29" ht="14.25" customHeight="1">
      <c r="B164" s="166"/>
      <c r="C164" s="173"/>
      <c r="D164" s="218">
        <v>1</v>
      </c>
      <c r="E164" s="218" t="s">
        <v>365</v>
      </c>
      <c r="F164" s="218" t="str">
        <f t="shared" si="14"/>
        <v>1 - Refrigerant Use</v>
      </c>
      <c r="G164" s="218" t="s">
        <v>307</v>
      </c>
      <c r="H164" s="218" t="s">
        <v>394</v>
      </c>
      <c r="I164" s="218"/>
      <c r="J164" s="218" t="s">
        <v>308</v>
      </c>
      <c r="K164" s="218" t="s">
        <v>397</v>
      </c>
      <c r="L164" s="218" t="s">
        <v>368</v>
      </c>
      <c r="M164" s="215" t="str">
        <f t="shared" si="15"/>
        <v>R-407C</v>
      </c>
      <c r="N164" s="236">
        <v>1774</v>
      </c>
      <c r="O164" s="236">
        <v>1624</v>
      </c>
      <c r="P164" s="218" t="s">
        <v>391</v>
      </c>
      <c r="Q164" s="218" t="s">
        <v>374</v>
      </c>
      <c r="R164" s="118"/>
      <c r="S164" s="226"/>
      <c r="T164" s="118"/>
      <c r="U164" s="118" t="s">
        <v>226</v>
      </c>
      <c r="V164" s="67"/>
      <c r="W164" s="67"/>
      <c r="X164" s="67"/>
      <c r="Y164" s="67"/>
      <c r="Z164" s="67"/>
      <c r="AA164" s="67"/>
      <c r="AB164" s="67"/>
      <c r="AC164" s="67"/>
    </row>
    <row r="165" spans="2:29" ht="14.25" customHeight="1">
      <c r="B165" s="166"/>
      <c r="C165" s="173"/>
      <c r="D165" s="218">
        <v>1</v>
      </c>
      <c r="E165" s="218" t="s">
        <v>365</v>
      </c>
      <c r="F165" s="218" t="str">
        <f t="shared" si="14"/>
        <v>1 - Refrigerant Use</v>
      </c>
      <c r="G165" s="218" t="s">
        <v>307</v>
      </c>
      <c r="H165" s="218" t="s">
        <v>394</v>
      </c>
      <c r="I165" s="218"/>
      <c r="J165" s="218" t="s">
        <v>308</v>
      </c>
      <c r="K165" s="218" t="s">
        <v>398</v>
      </c>
      <c r="L165" s="218" t="s">
        <v>368</v>
      </c>
      <c r="M165" s="215" t="str">
        <f t="shared" si="15"/>
        <v>R-407F</v>
      </c>
      <c r="N165" s="236">
        <v>1825</v>
      </c>
      <c r="O165" s="236">
        <v>1674</v>
      </c>
      <c r="P165" s="218" t="s">
        <v>391</v>
      </c>
      <c r="Q165" s="218" t="s">
        <v>374</v>
      </c>
      <c r="R165" s="118"/>
      <c r="S165" s="226"/>
      <c r="T165" s="118"/>
      <c r="U165" s="118" t="s">
        <v>226</v>
      </c>
      <c r="V165" s="67"/>
      <c r="W165" s="67"/>
      <c r="X165" s="67"/>
      <c r="Y165" s="67"/>
      <c r="Z165" s="67"/>
      <c r="AA165" s="67"/>
      <c r="AB165" s="67"/>
      <c r="AC165" s="67"/>
    </row>
    <row r="166" spans="2:29" ht="14.25" customHeight="1">
      <c r="B166" s="166"/>
      <c r="C166" s="173"/>
      <c r="D166" s="218">
        <v>1</v>
      </c>
      <c r="E166" s="218" t="s">
        <v>365</v>
      </c>
      <c r="F166" s="218" t="str">
        <f t="shared" si="14"/>
        <v>1 - Refrigerant Use</v>
      </c>
      <c r="G166" s="218" t="s">
        <v>307</v>
      </c>
      <c r="H166" s="218" t="s">
        <v>394</v>
      </c>
      <c r="I166" s="218"/>
      <c r="J166" s="218" t="s">
        <v>308</v>
      </c>
      <c r="K166" s="218" t="s">
        <v>399</v>
      </c>
      <c r="L166" s="218" t="s">
        <v>368</v>
      </c>
      <c r="M166" s="215" t="str">
        <f t="shared" si="15"/>
        <v>R-408A</v>
      </c>
      <c r="N166" s="236">
        <v>2301</v>
      </c>
      <c r="O166" s="236">
        <v>2430</v>
      </c>
      <c r="P166" s="218" t="s">
        <v>391</v>
      </c>
      <c r="Q166" s="218" t="s">
        <v>374</v>
      </c>
      <c r="R166" s="118"/>
      <c r="S166" s="226"/>
      <c r="T166" s="118"/>
      <c r="U166" s="118" t="s">
        <v>226</v>
      </c>
      <c r="V166" s="67"/>
      <c r="W166" s="67"/>
      <c r="X166" s="67"/>
      <c r="Y166" s="67"/>
      <c r="Z166" s="67"/>
      <c r="AA166" s="67"/>
      <c r="AB166" s="67"/>
      <c r="AC166" s="67"/>
    </row>
    <row r="167" spans="2:29" ht="14.25" customHeight="1">
      <c r="B167" s="166"/>
      <c r="C167" s="173"/>
      <c r="D167" s="218">
        <v>1</v>
      </c>
      <c r="E167" s="218" t="s">
        <v>365</v>
      </c>
      <c r="F167" s="218" t="str">
        <f t="shared" si="14"/>
        <v>1 - Refrigerant Use</v>
      </c>
      <c r="G167" s="218" t="s">
        <v>307</v>
      </c>
      <c r="H167" s="218" t="s">
        <v>394</v>
      </c>
      <c r="I167" s="218"/>
      <c r="J167" s="218" t="s">
        <v>308</v>
      </c>
      <c r="K167" s="218" t="s">
        <v>400</v>
      </c>
      <c r="L167" s="218" t="s">
        <v>368</v>
      </c>
      <c r="M167" s="215" t="str">
        <f t="shared" si="15"/>
        <v>R-410A</v>
      </c>
      <c r="N167" s="236">
        <v>2088</v>
      </c>
      <c r="O167" s="236">
        <v>1924</v>
      </c>
      <c r="P167" s="218" t="s">
        <v>391</v>
      </c>
      <c r="Q167" s="218" t="s">
        <v>374</v>
      </c>
      <c r="R167" s="118"/>
      <c r="S167" s="226"/>
      <c r="T167" s="118"/>
      <c r="U167" s="118" t="s">
        <v>226</v>
      </c>
      <c r="V167" s="67"/>
      <c r="W167" s="67"/>
      <c r="X167" s="67"/>
      <c r="Y167" s="67"/>
      <c r="Z167" s="67"/>
      <c r="AA167" s="67"/>
      <c r="AB167" s="67"/>
      <c r="AC167" s="67"/>
    </row>
    <row r="168" spans="2:29" ht="14.25" customHeight="1">
      <c r="B168" s="166"/>
      <c r="C168" s="173"/>
      <c r="D168" s="218">
        <v>1</v>
      </c>
      <c r="E168" s="218" t="s">
        <v>365</v>
      </c>
      <c r="F168" s="218" t="str">
        <f t="shared" si="14"/>
        <v>1 - Refrigerant Use</v>
      </c>
      <c r="G168" s="218" t="s">
        <v>307</v>
      </c>
      <c r="H168" s="218" t="s">
        <v>394</v>
      </c>
      <c r="I168" s="218"/>
      <c r="J168" s="218" t="s">
        <v>308</v>
      </c>
      <c r="K168" s="218" t="s">
        <v>401</v>
      </c>
      <c r="L168" s="218" t="s">
        <v>368</v>
      </c>
      <c r="M168" s="215" t="str">
        <f t="shared" si="15"/>
        <v>R-417A</v>
      </c>
      <c r="N168" s="236">
        <v>2346</v>
      </c>
      <c r="O168" s="236">
        <v>2127</v>
      </c>
      <c r="P168" s="218" t="s">
        <v>391</v>
      </c>
      <c r="Q168" s="218" t="s">
        <v>374</v>
      </c>
      <c r="R168" s="118"/>
      <c r="S168" s="226"/>
      <c r="T168" s="118"/>
      <c r="U168" s="118" t="s">
        <v>226</v>
      </c>
      <c r="V168" s="67"/>
      <c r="W168" s="67"/>
      <c r="X168" s="67"/>
      <c r="Y168" s="67"/>
      <c r="Z168" s="67"/>
      <c r="AA168" s="67"/>
      <c r="AB168" s="67"/>
      <c r="AC168" s="67"/>
    </row>
    <row r="169" spans="2:29" ht="14.25" customHeight="1">
      <c r="B169" s="166"/>
      <c r="C169" s="173"/>
      <c r="D169" s="218">
        <v>1</v>
      </c>
      <c r="E169" s="218" t="s">
        <v>365</v>
      </c>
      <c r="F169" s="218" t="str">
        <f t="shared" si="14"/>
        <v>1 - Refrigerant Use</v>
      </c>
      <c r="G169" s="218" t="s">
        <v>307</v>
      </c>
      <c r="H169" s="218" t="s">
        <v>394</v>
      </c>
      <c r="I169" s="218"/>
      <c r="J169" s="218" t="s">
        <v>308</v>
      </c>
      <c r="K169" s="218" t="s">
        <v>402</v>
      </c>
      <c r="L169" s="218" t="s">
        <v>368</v>
      </c>
      <c r="M169" s="215" t="str">
        <f t="shared" si="15"/>
        <v>R-422D</v>
      </c>
      <c r="N169" s="236">
        <v>2729</v>
      </c>
      <c r="O169" s="236">
        <v>2473</v>
      </c>
      <c r="P169" s="218" t="s">
        <v>391</v>
      </c>
      <c r="Q169" s="218" t="s">
        <v>374</v>
      </c>
      <c r="R169" s="118"/>
      <c r="S169" s="226"/>
      <c r="T169" s="118"/>
      <c r="U169" s="118" t="s">
        <v>226</v>
      </c>
      <c r="V169" s="67"/>
      <c r="W169" s="67"/>
      <c r="X169" s="67"/>
      <c r="Y169" s="67"/>
      <c r="Z169" s="67"/>
      <c r="AA169" s="67"/>
      <c r="AB169" s="67"/>
      <c r="AC169" s="67"/>
    </row>
    <row r="170" spans="2:29" ht="14.25" customHeight="1">
      <c r="B170" s="166"/>
      <c r="C170" s="173"/>
      <c r="D170" s="218">
        <v>1</v>
      </c>
      <c r="E170" s="218" t="s">
        <v>365</v>
      </c>
      <c r="F170" s="218" t="str">
        <f t="shared" si="14"/>
        <v>1 - Refrigerant Use</v>
      </c>
      <c r="G170" s="218" t="s">
        <v>307</v>
      </c>
      <c r="H170" s="218" t="s">
        <v>394</v>
      </c>
      <c r="I170" s="218"/>
      <c r="J170" s="218" t="s">
        <v>308</v>
      </c>
      <c r="K170" s="218" t="s">
        <v>403</v>
      </c>
      <c r="L170" s="218" t="s">
        <v>368</v>
      </c>
      <c r="M170" s="215" t="str">
        <f t="shared" si="15"/>
        <v>R-507A</v>
      </c>
      <c r="N170" s="236">
        <v>3985</v>
      </c>
      <c r="O170" s="236">
        <v>3985</v>
      </c>
      <c r="P170" s="218" t="s">
        <v>391</v>
      </c>
      <c r="Q170" s="218" t="s">
        <v>374</v>
      </c>
      <c r="R170" s="118"/>
      <c r="S170" s="226"/>
      <c r="T170" s="118"/>
      <c r="U170" s="118" t="s">
        <v>226</v>
      </c>
      <c r="V170" s="67"/>
      <c r="W170" s="67"/>
      <c r="X170" s="67"/>
      <c r="Y170" s="67"/>
      <c r="Z170" s="67"/>
      <c r="AA170" s="67"/>
      <c r="AB170" s="67"/>
      <c r="AC170" s="67"/>
    </row>
    <row r="171" spans="2:29" ht="14.25" customHeight="1">
      <c r="B171" s="166"/>
      <c r="C171" s="173"/>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row>
    <row r="172" spans="2:29" ht="14.25" customHeight="1">
      <c r="B172" s="166"/>
      <c r="C172" s="173"/>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row>
    <row r="173" spans="2:29" ht="40.35" customHeight="1">
      <c r="B173" s="166"/>
      <c r="C173" s="173"/>
      <c r="D173" s="274" t="str">
        <f>IF($A$2="English",_xlfn.XLOOKUP($A$10,Descriptions!$A:$A,Descriptions!$B:$B),_xlfn.XLOOKUP($A$10,Descriptions!$A:$A,Descriptions!$C:$C))</f>
        <v>Vav 2 - Keypt el</v>
      </c>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67"/>
      <c r="AA173" s="67"/>
      <c r="AB173" s="67"/>
      <c r="AC173" s="67"/>
    </row>
    <row r="174" spans="2:29" ht="14.25" customHeight="1">
      <c r="B174" s="166"/>
      <c r="C174" s="173"/>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row>
    <row r="175" spans="2:29" ht="14.25" customHeight="1">
      <c r="B175" s="166"/>
      <c r="C175" s="173"/>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row>
    <row r="176" spans="2:29" ht="30" customHeight="1">
      <c r="B176" s="166"/>
      <c r="C176" s="173"/>
      <c r="D176" s="154" t="s">
        <v>144</v>
      </c>
      <c r="E176" s="154" t="s">
        <v>145</v>
      </c>
      <c r="F176" s="154" t="s">
        <v>292</v>
      </c>
      <c r="G176" s="154" t="s">
        <v>293</v>
      </c>
      <c r="H176" s="154" t="s">
        <v>404</v>
      </c>
      <c r="I176" s="154" t="s">
        <v>294</v>
      </c>
      <c r="J176" s="154" t="s">
        <v>295</v>
      </c>
      <c r="K176" s="154" t="s">
        <v>230</v>
      </c>
      <c r="L176" s="154" t="s">
        <v>296</v>
      </c>
      <c r="M176" s="154" t="s">
        <v>185</v>
      </c>
      <c r="N176" s="154" t="s">
        <v>297</v>
      </c>
      <c r="O176" s="154" t="s">
        <v>298</v>
      </c>
      <c r="P176" s="154" t="s">
        <v>299</v>
      </c>
      <c r="Q176" s="154" t="s">
        <v>300</v>
      </c>
      <c r="R176" s="154" t="s">
        <v>301</v>
      </c>
      <c r="S176" s="154" t="s">
        <v>302</v>
      </c>
      <c r="T176" s="154" t="s">
        <v>303</v>
      </c>
      <c r="U176" s="154" t="s">
        <v>214</v>
      </c>
      <c r="V176" s="154" t="s">
        <v>304</v>
      </c>
      <c r="W176" s="154" t="s">
        <v>305</v>
      </c>
      <c r="X176" s="67"/>
      <c r="Y176" s="67"/>
      <c r="Z176" s="67"/>
      <c r="AA176" s="67"/>
      <c r="AB176" s="67"/>
      <c r="AC176" s="67"/>
    </row>
    <row r="177" spans="2:29" ht="14.25" customHeight="1">
      <c r="B177" s="166"/>
      <c r="C177" s="173"/>
      <c r="D177" s="212">
        <v>2</v>
      </c>
      <c r="E177" s="212" t="s">
        <v>405</v>
      </c>
      <c r="F177" s="212" t="str">
        <f t="shared" ref="F177:F180" si="16">D177&amp;" - "&amp;E177</f>
        <v>2 - Purchased Electricity</v>
      </c>
      <c r="G177" s="212" t="s">
        <v>406</v>
      </c>
      <c r="H177" s="212" t="s">
        <v>232</v>
      </c>
      <c r="I177" s="212"/>
      <c r="J177" s="212" t="s">
        <v>308</v>
      </c>
      <c r="K177" s="212" t="s">
        <v>406</v>
      </c>
      <c r="L177" s="212" t="s">
        <v>232</v>
      </c>
      <c r="M177" s="215" t="str">
        <f>K177&amp;L177</f>
        <v>Electricity UseMeginøki</v>
      </c>
      <c r="N177" s="212"/>
      <c r="O177" s="212"/>
      <c r="P177" s="212"/>
      <c r="Q177" s="212"/>
      <c r="R177" s="212"/>
      <c r="S177" s="412"/>
      <c r="T177" s="386">
        <v>0.33400000000000002</v>
      </c>
      <c r="U177" s="212" t="s">
        <v>204</v>
      </c>
      <c r="V177" s="212"/>
      <c r="W177" s="218" t="s">
        <v>1314</v>
      </c>
      <c r="X177" s="67"/>
      <c r="Y177" s="67"/>
      <c r="Z177" s="67"/>
      <c r="AA177" s="67"/>
      <c r="AB177" s="67"/>
      <c r="AC177" s="67"/>
    </row>
    <row r="178" spans="2:29" ht="14.25" customHeight="1">
      <c r="B178" s="166"/>
      <c r="C178" s="173"/>
      <c r="D178" s="212">
        <v>2</v>
      </c>
      <c r="E178" s="212" t="s">
        <v>405</v>
      </c>
      <c r="F178" s="212" t="str">
        <f t="shared" si="16"/>
        <v>2 - Purchased Electricity</v>
      </c>
      <c r="G178" s="212" t="s">
        <v>406</v>
      </c>
      <c r="H178" s="212" t="s">
        <v>1304</v>
      </c>
      <c r="I178" s="212"/>
      <c r="J178" s="212" t="s">
        <v>308</v>
      </c>
      <c r="K178" s="212" t="s">
        <v>406</v>
      </c>
      <c r="L178" s="212" t="s">
        <v>1304</v>
      </c>
      <c r="M178" s="215" t="str">
        <f t="shared" ref="M178:M180" si="17">K178&amp;L178</f>
        <v>Electricity UseSuðuroy</v>
      </c>
      <c r="N178" s="212"/>
      <c r="O178" s="212"/>
      <c r="P178" s="212"/>
      <c r="Q178" s="212"/>
      <c r="R178" s="212"/>
      <c r="S178" s="412"/>
      <c r="T178" s="386">
        <v>0.29399999999999998</v>
      </c>
      <c r="U178" s="212" t="s">
        <v>204</v>
      </c>
      <c r="V178" s="212"/>
      <c r="W178" s="218" t="s">
        <v>1314</v>
      </c>
      <c r="X178" s="67"/>
      <c r="Y178" s="67"/>
      <c r="Z178" s="67"/>
      <c r="AA178" s="67"/>
      <c r="AB178" s="67"/>
      <c r="AC178" s="67"/>
    </row>
    <row r="179" spans="2:29" ht="14.25" customHeight="1">
      <c r="B179" s="166"/>
      <c r="C179" s="173"/>
      <c r="D179" s="212">
        <v>2</v>
      </c>
      <c r="E179" s="212" t="s">
        <v>405</v>
      </c>
      <c r="F179" s="212" t="str">
        <f t="shared" si="16"/>
        <v>2 - Purchased Electricity</v>
      </c>
      <c r="G179" s="212" t="s">
        <v>406</v>
      </c>
      <c r="H179" s="212" t="s">
        <v>408</v>
      </c>
      <c r="I179" s="212"/>
      <c r="J179" s="212" t="s">
        <v>308</v>
      </c>
      <c r="K179" s="212" t="s">
        <v>406</v>
      </c>
      <c r="L179" s="212" t="s">
        <v>408</v>
      </c>
      <c r="M179" s="215" t="str">
        <f t="shared" si="17"/>
        <v>Electricity UseSmaller Islands</v>
      </c>
      <c r="N179" s="212"/>
      <c r="O179" s="212"/>
      <c r="P179" s="212"/>
      <c r="Q179" s="212"/>
      <c r="R179" s="212"/>
      <c r="S179" s="412"/>
      <c r="T179" s="386">
        <v>0.71499999999999997</v>
      </c>
      <c r="U179" s="212" t="s">
        <v>204</v>
      </c>
      <c r="V179" s="212"/>
      <c r="W179" s="218" t="s">
        <v>1314</v>
      </c>
      <c r="X179" s="67"/>
      <c r="Y179" s="67"/>
      <c r="Z179" s="67"/>
      <c r="AA179" s="67"/>
      <c r="AB179" s="67"/>
      <c r="AC179" s="67"/>
    </row>
    <row r="180" spans="2:29" ht="14.25" customHeight="1">
      <c r="B180" s="166"/>
      <c r="C180" s="173"/>
      <c r="D180" s="212">
        <v>2</v>
      </c>
      <c r="E180" s="212" t="s">
        <v>405</v>
      </c>
      <c r="F180" s="212" t="str">
        <f t="shared" si="16"/>
        <v>2 - Purchased Electricity</v>
      </c>
      <c r="G180" s="212" t="s">
        <v>406</v>
      </c>
      <c r="H180" s="212" t="s">
        <v>409</v>
      </c>
      <c r="I180" s="212"/>
      <c r="J180" s="212" t="s">
        <v>308</v>
      </c>
      <c r="K180" s="212" t="s">
        <v>406</v>
      </c>
      <c r="L180" s="212" t="s">
        <v>234</v>
      </c>
      <c r="M180" s="215" t="str">
        <f t="shared" si="17"/>
        <v>Electricity UseDefault (Faroes Weighted Average)</v>
      </c>
      <c r="N180" s="212"/>
      <c r="O180" s="212"/>
      <c r="P180" s="212"/>
      <c r="Q180" s="212"/>
      <c r="R180" s="212"/>
      <c r="S180" s="412"/>
      <c r="T180" s="386">
        <v>0.33200000000000002</v>
      </c>
      <c r="U180" s="212" t="s">
        <v>204</v>
      </c>
      <c r="V180" s="212"/>
      <c r="W180" s="218" t="s">
        <v>1314</v>
      </c>
      <c r="X180" s="67"/>
      <c r="Y180" s="67"/>
      <c r="Z180" s="67"/>
      <c r="AA180" s="67"/>
      <c r="AB180" s="67"/>
      <c r="AC180" s="67"/>
    </row>
    <row r="181" spans="2:29" ht="14.25" customHeight="1">
      <c r="B181" s="166"/>
      <c r="C181" s="173"/>
      <c r="D181" s="67"/>
      <c r="E181" s="67"/>
      <c r="F181" s="67"/>
      <c r="G181" s="67"/>
      <c r="H181" s="67"/>
      <c r="I181" s="67"/>
      <c r="J181" s="67"/>
      <c r="K181" s="67"/>
      <c r="L181" s="67"/>
      <c r="M181" s="67"/>
      <c r="N181" s="67"/>
      <c r="O181" s="67"/>
      <c r="P181" s="67"/>
      <c r="Q181" s="67"/>
      <c r="R181" s="67"/>
      <c r="T181" s="67"/>
      <c r="U181" s="67"/>
      <c r="V181" s="67"/>
      <c r="W181" s="67"/>
      <c r="X181" s="67"/>
      <c r="Y181" s="67"/>
      <c r="Z181" s="67"/>
      <c r="AA181" s="67"/>
      <c r="AB181" s="67"/>
      <c r="AC181" s="67"/>
    </row>
    <row r="182" spans="2:29" ht="14.25" customHeight="1">
      <c r="B182" s="166"/>
      <c r="C182" s="173"/>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row>
    <row r="183" spans="2:29" ht="40.35" customHeight="1">
      <c r="B183" s="166"/>
      <c r="C183" s="173"/>
      <c r="D183" s="274" t="str">
        <f>IF($A$2="English",_xlfn.XLOOKUP($A$11,Descriptions!$A:$A,Descriptions!$B:$B),_xlfn.XLOOKUP($A$11,Descriptions!$A:$A,Descriptions!$C:$C))</f>
        <v>Vav 2 - Fjarhiti</v>
      </c>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67"/>
      <c r="AA183" s="67"/>
      <c r="AB183" s="67"/>
      <c r="AC183" s="67"/>
    </row>
    <row r="184" spans="2:29" ht="14.25" customHeight="1">
      <c r="B184" s="166"/>
      <c r="C184" s="173"/>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row>
    <row r="185" spans="2:29" ht="30" customHeight="1">
      <c r="B185" s="166"/>
      <c r="C185" s="173"/>
      <c r="D185" s="154" t="s">
        <v>144</v>
      </c>
      <c r="E185" s="154" t="s">
        <v>145</v>
      </c>
      <c r="F185" s="154" t="s">
        <v>292</v>
      </c>
      <c r="G185" s="154" t="s">
        <v>293</v>
      </c>
      <c r="H185" s="154" t="s">
        <v>404</v>
      </c>
      <c r="I185" s="154" t="s">
        <v>294</v>
      </c>
      <c r="J185" s="154" t="s">
        <v>295</v>
      </c>
      <c r="K185" s="154" t="s">
        <v>230</v>
      </c>
      <c r="L185" s="154" t="s">
        <v>296</v>
      </c>
      <c r="M185" s="154" t="s">
        <v>185</v>
      </c>
      <c r="N185" s="154" t="s">
        <v>297</v>
      </c>
      <c r="O185" s="154" t="s">
        <v>298</v>
      </c>
      <c r="P185" s="154" t="s">
        <v>299</v>
      </c>
      <c r="Q185" s="154" t="s">
        <v>300</v>
      </c>
      <c r="R185" s="154" t="s">
        <v>301</v>
      </c>
      <c r="S185" s="154" t="s">
        <v>302</v>
      </c>
      <c r="T185" s="154" t="s">
        <v>303</v>
      </c>
      <c r="U185" s="154" t="s">
        <v>214</v>
      </c>
      <c r="V185" s="154" t="s">
        <v>304</v>
      </c>
      <c r="W185" s="154" t="s">
        <v>305</v>
      </c>
      <c r="X185" s="67"/>
      <c r="Y185" s="67"/>
      <c r="Z185" s="67"/>
      <c r="AA185" s="67"/>
      <c r="AB185" s="67"/>
      <c r="AC185" s="67"/>
    </row>
    <row r="186" spans="2:29" ht="14.25" customHeight="1">
      <c r="B186" s="166"/>
      <c r="C186" s="173"/>
      <c r="D186" s="212">
        <v>2</v>
      </c>
      <c r="E186" s="212" t="s">
        <v>240</v>
      </c>
      <c r="F186" s="212" t="str">
        <f t="shared" ref="F186" si="18">D186&amp;" - "&amp;E186</f>
        <v>2 - District Heating</v>
      </c>
      <c r="G186" s="212" t="s">
        <v>239</v>
      </c>
      <c r="H186" s="212" t="s">
        <v>142</v>
      </c>
      <c r="I186" s="212"/>
      <c r="J186" s="212"/>
      <c r="K186" s="212" t="s">
        <v>240</v>
      </c>
      <c r="L186" s="212" t="str">
        <f>H186</f>
        <v>Tórshavn</v>
      </c>
      <c r="M186" s="215" t="str">
        <f t="shared" ref="M186:M187" si="19">K186&amp;L186</f>
        <v>District HeatingTórshavn</v>
      </c>
      <c r="N186" s="212"/>
      <c r="O186" s="212"/>
      <c r="P186" s="212"/>
      <c r="Q186" s="212"/>
      <c r="R186" s="212"/>
      <c r="S186" s="413"/>
      <c r="T186" s="417">
        <v>0.126</v>
      </c>
      <c r="U186" s="212" t="s">
        <v>204</v>
      </c>
      <c r="V186" s="212"/>
      <c r="W186" s="218" t="s">
        <v>1314</v>
      </c>
      <c r="X186" s="67"/>
      <c r="Y186" s="67"/>
      <c r="Z186" s="67"/>
      <c r="AA186" s="67"/>
      <c r="AB186" s="67"/>
      <c r="AC186" s="67"/>
    </row>
    <row r="187" spans="2:29" ht="14.25" customHeight="1">
      <c r="B187" s="166"/>
      <c r="C187" s="173"/>
      <c r="D187" s="212">
        <v>2</v>
      </c>
      <c r="E187" s="212" t="s">
        <v>240</v>
      </c>
      <c r="F187" s="212" t="str">
        <f t="shared" ref="F187" si="20">D187&amp;" - "&amp;E187</f>
        <v>2 - District Heating</v>
      </c>
      <c r="G187" s="212" t="s">
        <v>239</v>
      </c>
      <c r="H187" s="212" t="s">
        <v>409</v>
      </c>
      <c r="I187" s="212"/>
      <c r="J187" s="212"/>
      <c r="K187" s="212" t="s">
        <v>240</v>
      </c>
      <c r="L187" s="212" t="s">
        <v>192</v>
      </c>
      <c r="M187" s="215" t="str">
        <f t="shared" si="19"/>
        <v>District HeatingDefault</v>
      </c>
      <c r="N187" s="212"/>
      <c r="O187" s="212"/>
      <c r="P187" s="212"/>
      <c r="Q187" s="212"/>
      <c r="R187" s="212"/>
      <c r="S187" s="413"/>
      <c r="T187" s="417">
        <v>0.126</v>
      </c>
      <c r="U187" s="212" t="s">
        <v>204</v>
      </c>
      <c r="V187" s="212"/>
      <c r="W187" s="218" t="s">
        <v>1314</v>
      </c>
      <c r="X187" s="67"/>
      <c r="Y187" s="67"/>
      <c r="Z187" s="67"/>
      <c r="AA187" s="67"/>
      <c r="AB187" s="67"/>
      <c r="AC187" s="67"/>
    </row>
    <row r="188" spans="2:29" ht="14.25" customHeight="1">
      <c r="B188" s="166"/>
      <c r="C188" s="173"/>
      <c r="D188" s="212"/>
      <c r="E188" s="212"/>
      <c r="F188" s="212"/>
      <c r="G188" s="212"/>
      <c r="H188" s="212"/>
      <c r="I188" s="212"/>
      <c r="J188" s="212"/>
      <c r="K188" s="212"/>
      <c r="L188" s="212"/>
      <c r="M188" s="212"/>
      <c r="N188" s="212"/>
      <c r="O188" s="212"/>
      <c r="P188" s="212"/>
      <c r="Q188" s="212"/>
      <c r="R188" s="212"/>
      <c r="S188" s="239"/>
      <c r="T188" s="386"/>
      <c r="U188" s="212"/>
      <c r="V188" s="212"/>
      <c r="W188" s="218"/>
      <c r="X188" s="67"/>
      <c r="Y188" s="67"/>
      <c r="Z188" s="67"/>
      <c r="AA188" s="67"/>
      <c r="AB188" s="67"/>
      <c r="AC188" s="67"/>
    </row>
    <row r="189" spans="2:29" ht="14.25" customHeight="1">
      <c r="B189" s="166"/>
      <c r="C189" s="173"/>
      <c r="D189" s="212"/>
      <c r="E189" s="212"/>
      <c r="F189" s="212"/>
      <c r="G189" s="212"/>
      <c r="H189" s="212"/>
      <c r="I189" s="212"/>
      <c r="J189" s="212"/>
      <c r="K189" s="212"/>
      <c r="L189" s="212"/>
      <c r="M189" s="212"/>
      <c r="N189" s="212"/>
      <c r="O189" s="212"/>
      <c r="P189" s="212"/>
      <c r="Q189" s="212"/>
      <c r="R189" s="212"/>
      <c r="S189" s="239"/>
      <c r="T189" s="386"/>
      <c r="U189" s="212"/>
      <c r="V189" s="212"/>
      <c r="W189" s="218"/>
      <c r="X189" s="67"/>
      <c r="Y189" s="67"/>
      <c r="Z189" s="67"/>
      <c r="AA189" s="67"/>
      <c r="AB189" s="67"/>
      <c r="AC189" s="67"/>
    </row>
    <row r="190" spans="2:29" ht="14.25" customHeight="1">
      <c r="B190" s="166"/>
      <c r="C190" s="173"/>
      <c r="D190" s="212"/>
      <c r="E190" s="212"/>
      <c r="F190" s="212"/>
      <c r="G190" s="212"/>
      <c r="H190" s="212"/>
      <c r="I190" s="212"/>
      <c r="J190" s="212"/>
      <c r="K190" s="212"/>
      <c r="L190" s="212"/>
      <c r="M190" s="212"/>
      <c r="N190" s="212"/>
      <c r="O190" s="212"/>
      <c r="P190" s="212"/>
      <c r="Q190" s="212"/>
      <c r="R190" s="212"/>
      <c r="S190" s="239"/>
      <c r="T190" s="386"/>
      <c r="U190" s="212"/>
      <c r="V190" s="212"/>
      <c r="W190" s="218"/>
      <c r="X190" s="67"/>
      <c r="Y190" s="67"/>
      <c r="Z190" s="67"/>
      <c r="AA190" s="67"/>
      <c r="AB190" s="67"/>
      <c r="AC190" s="67"/>
    </row>
    <row r="191" spans="2:29" ht="14.25" customHeight="1">
      <c r="B191" s="166"/>
      <c r="C191" s="173"/>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row>
    <row r="192" spans="2:29" ht="14.25" customHeight="1">
      <c r="B192" s="166"/>
      <c r="C192" s="173"/>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row>
    <row r="193" spans="2:29" ht="40.35" customHeight="1">
      <c r="B193" s="166"/>
      <c r="C193" s="173"/>
      <c r="D193" s="274" t="str">
        <f>IF($A$2="English",_xlfn.XLOOKUP($A$12,Descriptions!$A:$A,Descriptions!$B:$B),_xlfn.XLOOKUP($A$12,Descriptions!$A:$A,Descriptions!$C:$C))</f>
        <v>Vav 3 - Flutningur (starvsfólkaferðing, arbeiðsferðing, liðugvøruflutningur og -veiting, rávøruflutningur og -veiting)</v>
      </c>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67"/>
      <c r="AA193" s="67"/>
      <c r="AB193" s="67"/>
      <c r="AC193" s="67"/>
    </row>
    <row r="194" spans="2:29" ht="14.25" customHeight="1">
      <c r="B194" s="166"/>
      <c r="C194" s="173"/>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row>
    <row r="195" spans="2:29" ht="30" customHeight="1">
      <c r="B195" s="166"/>
      <c r="C195" s="173"/>
      <c r="D195" s="240" t="s">
        <v>144</v>
      </c>
      <c r="E195" s="240" t="s">
        <v>145</v>
      </c>
      <c r="F195" s="240" t="s">
        <v>292</v>
      </c>
      <c r="G195" s="240" t="s">
        <v>293</v>
      </c>
      <c r="H195" s="240" t="s">
        <v>404</v>
      </c>
      <c r="I195" s="240" t="s">
        <v>294</v>
      </c>
      <c r="J195" s="240" t="s">
        <v>295</v>
      </c>
      <c r="K195" s="240" t="s">
        <v>230</v>
      </c>
      <c r="L195" s="240" t="s">
        <v>296</v>
      </c>
      <c r="M195" s="240" t="s">
        <v>185</v>
      </c>
      <c r="N195" s="240" t="s">
        <v>297</v>
      </c>
      <c r="O195" s="240" t="s">
        <v>298</v>
      </c>
      <c r="P195" s="240" t="s">
        <v>299</v>
      </c>
      <c r="Q195" s="240" t="s">
        <v>300</v>
      </c>
      <c r="R195" s="240" t="s">
        <v>301</v>
      </c>
      <c r="S195" s="240" t="s">
        <v>302</v>
      </c>
      <c r="T195" s="240" t="s">
        <v>303</v>
      </c>
      <c r="U195" s="240" t="s">
        <v>214</v>
      </c>
      <c r="V195" s="240" t="s">
        <v>304</v>
      </c>
      <c r="W195" s="240" t="s">
        <v>305</v>
      </c>
      <c r="X195" s="240" t="s">
        <v>410</v>
      </c>
      <c r="Y195" s="67"/>
      <c r="Z195" s="67"/>
      <c r="AA195" s="67"/>
      <c r="AB195" s="67"/>
      <c r="AC195" s="67"/>
    </row>
    <row r="196" spans="2:29" ht="14.85" customHeight="1">
      <c r="B196" s="166"/>
      <c r="C196" s="173"/>
      <c r="D196" s="212">
        <v>3</v>
      </c>
      <c r="E196" s="212" t="s">
        <v>411</v>
      </c>
      <c r="F196" s="212" t="str">
        <f t="shared" ref="F196:F255" si="21">D196&amp;" - "&amp;E196</f>
        <v>3 - Upstream/Downstream Transportation and Distribution</v>
      </c>
      <c r="G196" s="241" t="s">
        <v>307</v>
      </c>
      <c r="H196" s="241" t="s">
        <v>337</v>
      </c>
      <c r="I196" s="241"/>
      <c r="J196" s="241" t="s">
        <v>308</v>
      </c>
      <c r="K196" s="241" t="s">
        <v>203</v>
      </c>
      <c r="L196" s="241" t="s">
        <v>247</v>
      </c>
      <c r="M196" s="241" t="str">
        <f>K196&amp;L196</f>
        <v>DieselSea Navigation</v>
      </c>
      <c r="N196" s="403">
        <v>74.09999999999998</v>
      </c>
      <c r="O196" s="404">
        <v>1.25E-3</v>
      </c>
      <c r="P196" s="405">
        <v>1.8699999999999999E-3</v>
      </c>
      <c r="Q196" s="237">
        <f>O196*_xlfn.XLOOKUP('Emission Factors'!O$16,GWPs!$B:$B,GWPs!$E:$E)</f>
        <v>3.125E-2</v>
      </c>
      <c r="R196" s="242">
        <f>P196*_xlfn.XLOOKUP('Emission Factors'!P$16,GWPs!$B:$B,GWPs!$E:$E)</f>
        <v>0.55725999999999998</v>
      </c>
      <c r="S196" s="243">
        <f>N196+(_xlfn.XLOOKUP($O$16,GWPs!$B:$B,GWPs!$E:$E)*O196)+(_xlfn.XLOOKUP($P$16,GWPs!$B:$B,GWPs!$E:$E)*P196)</f>
        <v>74.68850999999998</v>
      </c>
      <c r="T196" s="385">
        <f>N196+(_xlfn.XLOOKUP($O$16,GWPs!$B:$B,GWPs!$F:$F)*O196)+(_xlfn.XLOOKUP($P$16,GWPs!$B:$B,GWPs!$F:$F)*P196)</f>
        <v>74.630549999999971</v>
      </c>
      <c r="U196" s="241" t="s">
        <v>309</v>
      </c>
      <c r="V196" s="414" t="s">
        <v>1312</v>
      </c>
      <c r="W196" s="218" t="s">
        <v>310</v>
      </c>
      <c r="X196" s="73" t="s">
        <v>246</v>
      </c>
      <c r="Y196" s="67"/>
      <c r="Z196" s="67"/>
      <c r="AA196" s="67"/>
      <c r="AB196" s="67"/>
      <c r="AC196" s="67"/>
    </row>
    <row r="197" spans="2:29" ht="14.85" customHeight="1">
      <c r="B197" s="166"/>
      <c r="C197" s="173"/>
      <c r="D197" s="212">
        <v>3</v>
      </c>
      <c r="E197" s="212" t="s">
        <v>411</v>
      </c>
      <c r="F197" s="212" t="str">
        <f t="shared" si="21"/>
        <v>3 - Upstream/Downstream Transportation and Distribution</v>
      </c>
      <c r="G197" s="241" t="s">
        <v>307</v>
      </c>
      <c r="H197" s="241" t="s">
        <v>337</v>
      </c>
      <c r="I197" s="241"/>
      <c r="J197" s="241" t="s">
        <v>308</v>
      </c>
      <c r="K197" s="241" t="s">
        <v>338</v>
      </c>
      <c r="L197" s="241" t="s">
        <v>247</v>
      </c>
      <c r="M197" s="241" t="str">
        <f t="shared" ref="M197:M255" si="22">K197&amp;L197</f>
        <v>Residual oilSea Navigation</v>
      </c>
      <c r="N197" s="403">
        <v>77.999999999999986</v>
      </c>
      <c r="O197" s="404">
        <v>2.0205795378079659E-3</v>
      </c>
      <c r="P197" s="404">
        <v>1.9501125187550614E-3</v>
      </c>
      <c r="Q197" s="237">
        <f>O197*_xlfn.XLOOKUP('Emission Factors'!O$16,GWPs!$B:$B,GWPs!$E:$E)</f>
        <v>5.0514488445199145E-2</v>
      </c>
      <c r="R197" s="242">
        <f>P197*_xlfn.XLOOKUP('Emission Factors'!P$16,GWPs!$B:$B,GWPs!$E:$E)</f>
        <v>0.5811335305890083</v>
      </c>
      <c r="S197" s="243">
        <f>N197+(_xlfn.XLOOKUP($O$16,GWPs!$B:$B,GWPs!$E:$E)*O197)+(_xlfn.XLOOKUP($P$16,GWPs!$B:$B,GWPs!$E:$E)*P197)</f>
        <v>78.631648019034202</v>
      </c>
      <c r="T197" s="385">
        <f>N197+(_xlfn.XLOOKUP($O$16,GWPs!$B:$B,GWPs!$F:$F)*O197)+(_xlfn.XLOOKUP($P$16,GWPs!$B:$B,GWPs!$F:$F)*P197)</f>
        <v>78.573356044528708</v>
      </c>
      <c r="U197" s="241" t="s">
        <v>309</v>
      </c>
      <c r="V197" s="414" t="s">
        <v>1312</v>
      </c>
      <c r="W197" s="218" t="s">
        <v>310</v>
      </c>
      <c r="X197" s="73" t="s">
        <v>246</v>
      </c>
      <c r="Y197" s="67"/>
      <c r="Z197" s="67"/>
      <c r="AA197" s="67"/>
      <c r="AB197" s="67"/>
      <c r="AC197" s="67"/>
    </row>
    <row r="198" spans="2:29" ht="14.85" customHeight="1">
      <c r="B198" s="166"/>
      <c r="C198" s="173"/>
      <c r="D198" s="212">
        <v>3</v>
      </c>
      <c r="E198" s="212" t="s">
        <v>411</v>
      </c>
      <c r="F198" s="212" t="str">
        <f t="shared" si="21"/>
        <v>3 - Upstream/Downstream Transportation and Distribution</v>
      </c>
      <c r="G198" s="241" t="s">
        <v>307</v>
      </c>
      <c r="H198" s="241" t="s">
        <v>339</v>
      </c>
      <c r="I198" s="241"/>
      <c r="J198" s="241" t="s">
        <v>308</v>
      </c>
      <c r="K198" s="241" t="s">
        <v>203</v>
      </c>
      <c r="L198" s="241" t="s">
        <v>340</v>
      </c>
      <c r="M198" s="241" t="str">
        <f t="shared" si="22"/>
        <v>DieselFishing Ships</v>
      </c>
      <c r="N198" s="403">
        <v>74.09999999999998</v>
      </c>
      <c r="O198" s="404">
        <v>1.14E-3</v>
      </c>
      <c r="P198" s="405">
        <v>1.83E-3</v>
      </c>
      <c r="Q198" s="237">
        <f>O198*_xlfn.XLOOKUP('Emission Factors'!O$16,GWPs!$B:$B,GWPs!$E:$E)</f>
        <v>2.8499999999999998E-2</v>
      </c>
      <c r="R198" s="242">
        <f>P198*_xlfn.XLOOKUP('Emission Factors'!P$16,GWPs!$B:$B,GWPs!$E:$E)</f>
        <v>0.54534000000000005</v>
      </c>
      <c r="S198" s="243">
        <f>N198+(_xlfn.XLOOKUP($O$16,GWPs!$B:$B,GWPs!$E:$E)*O198)+(_xlfn.XLOOKUP($P$16,GWPs!$B:$B,GWPs!$E:$E)*P198)</f>
        <v>74.67383999999997</v>
      </c>
      <c r="T198" s="385">
        <f>N198+(_xlfn.XLOOKUP($O$16,GWPs!$B:$B,GWPs!$F:$F)*O198)+(_xlfn.XLOOKUP($P$16,GWPs!$B:$B,GWPs!$F:$F)*P198)</f>
        <v>74.616869999999977</v>
      </c>
      <c r="U198" s="241" t="s">
        <v>309</v>
      </c>
      <c r="V198" s="414" t="s">
        <v>1312</v>
      </c>
      <c r="W198" s="218" t="s">
        <v>310</v>
      </c>
      <c r="X198" s="73" t="s">
        <v>246</v>
      </c>
      <c r="Y198" s="67"/>
      <c r="Z198" s="67"/>
      <c r="AA198" s="67"/>
      <c r="AB198" s="67"/>
      <c r="AC198" s="67"/>
    </row>
    <row r="199" spans="2:29" ht="14.85" customHeight="1">
      <c r="B199" s="166"/>
      <c r="C199" s="173"/>
      <c r="D199" s="212">
        <v>3</v>
      </c>
      <c r="E199" s="212" t="s">
        <v>411</v>
      </c>
      <c r="F199" s="212" t="str">
        <f t="shared" ref="F199" si="23">D199&amp;" - "&amp;E199</f>
        <v>3 - Upstream/Downstream Transportation and Distribution</v>
      </c>
      <c r="G199" s="241" t="s">
        <v>307</v>
      </c>
      <c r="H199" s="241" t="s">
        <v>339</v>
      </c>
      <c r="I199" s="241"/>
      <c r="J199" s="241" t="s">
        <v>308</v>
      </c>
      <c r="K199" s="241" t="s">
        <v>338</v>
      </c>
      <c r="L199" s="241" t="s">
        <v>340</v>
      </c>
      <c r="M199" s="241" t="str">
        <f t="shared" ref="M199" si="24">K199&amp;L199</f>
        <v>Residual oilFishing Ships</v>
      </c>
      <c r="N199" s="403">
        <f>N197</f>
        <v>77.999999999999986</v>
      </c>
      <c r="O199" s="404">
        <f t="shared" ref="O199:S199" si="25">O197</f>
        <v>2.0205795378079659E-3</v>
      </c>
      <c r="P199" s="405">
        <f t="shared" si="25"/>
        <v>1.9501125187550614E-3</v>
      </c>
      <c r="Q199" s="237">
        <f t="shared" si="25"/>
        <v>5.0514488445199145E-2</v>
      </c>
      <c r="R199" s="242">
        <f t="shared" si="25"/>
        <v>0.5811335305890083</v>
      </c>
      <c r="S199" s="243">
        <f t="shared" si="25"/>
        <v>78.631648019034202</v>
      </c>
      <c r="T199" s="385">
        <f>N199+(_xlfn.XLOOKUP($O$16,GWPs!$B:$B,GWPs!$F:$F)*O199)+(_xlfn.XLOOKUP($P$16,GWPs!$B:$B,GWPs!$F:$F)*P199)</f>
        <v>78.573356044528708</v>
      </c>
      <c r="U199" s="241" t="s">
        <v>309</v>
      </c>
      <c r="V199" s="414" t="s">
        <v>1312</v>
      </c>
      <c r="W199" s="218" t="s">
        <v>310</v>
      </c>
      <c r="X199" s="73" t="s">
        <v>246</v>
      </c>
      <c r="Y199" s="67"/>
      <c r="Z199" s="67"/>
      <c r="AA199" s="67"/>
      <c r="AB199" s="67"/>
      <c r="AC199" s="67"/>
    </row>
    <row r="200" spans="2:29" ht="14.85" customHeight="1">
      <c r="B200" s="166"/>
      <c r="C200" s="173"/>
      <c r="D200" s="212">
        <v>3</v>
      </c>
      <c r="E200" s="212" t="s">
        <v>411</v>
      </c>
      <c r="F200" s="212" t="str">
        <f t="shared" si="21"/>
        <v>3 - Upstream/Downstream Transportation and Distribution</v>
      </c>
      <c r="G200" s="241" t="s">
        <v>307</v>
      </c>
      <c r="H200" s="241" t="s">
        <v>341</v>
      </c>
      <c r="I200" s="241"/>
      <c r="J200" s="241" t="s">
        <v>308</v>
      </c>
      <c r="K200" s="241" t="s">
        <v>203</v>
      </c>
      <c r="L200" s="241" t="s">
        <v>342</v>
      </c>
      <c r="M200" s="241" t="str">
        <f t="shared" si="22"/>
        <v>DieselSea Navigation - International</v>
      </c>
      <c r="N200" s="403">
        <v>74.099999999999994</v>
      </c>
      <c r="O200" s="405">
        <v>1.2800000000000001E-3</v>
      </c>
      <c r="P200" s="404">
        <v>1.873536299765808E-3</v>
      </c>
      <c r="Q200" s="237">
        <f>O200*_xlfn.XLOOKUP('Emission Factors'!O$16,GWPs!$B:$B,GWPs!$E:$E)</f>
        <v>3.2000000000000001E-2</v>
      </c>
      <c r="R200" s="242">
        <f>P200*_xlfn.XLOOKUP('Emission Factors'!P$16,GWPs!$B:$B,GWPs!$E:$E)</f>
        <v>0.55831381733021079</v>
      </c>
      <c r="S200" s="243">
        <f>N200+(_xlfn.XLOOKUP($O$16,GWPs!$B:$B,GWPs!$E:$E)*O200)+(_xlfn.XLOOKUP($P$16,GWPs!$B:$B,GWPs!$E:$E)*P200)</f>
        <v>74.690313817330207</v>
      </c>
      <c r="T200" s="385">
        <f>N200+(_xlfn.XLOOKUP($O$16,GWPs!$B:$B,GWPs!$F:$F)*O200)+(_xlfn.XLOOKUP($P$16,GWPs!$B:$B,GWPs!$F:$F)*P200)</f>
        <v>74.632327119437932</v>
      </c>
      <c r="U200" s="241" t="s">
        <v>309</v>
      </c>
      <c r="V200" s="414" t="s">
        <v>1312</v>
      </c>
      <c r="W200" s="218" t="s">
        <v>310</v>
      </c>
      <c r="X200" s="73" t="s">
        <v>246</v>
      </c>
      <c r="Y200" s="67"/>
      <c r="Z200" s="67"/>
      <c r="AA200" s="67"/>
      <c r="AB200" s="67"/>
      <c r="AC200" s="67"/>
    </row>
    <row r="201" spans="2:29" ht="14.85" customHeight="1">
      <c r="B201" s="166"/>
      <c r="C201" s="173"/>
      <c r="D201" s="212">
        <v>3</v>
      </c>
      <c r="E201" s="212" t="s">
        <v>411</v>
      </c>
      <c r="F201" s="212" t="str">
        <f t="shared" si="21"/>
        <v>3 - Upstream/Downstream Transportation and Distribution</v>
      </c>
      <c r="G201" s="241" t="s">
        <v>307</v>
      </c>
      <c r="H201" s="241" t="s">
        <v>341</v>
      </c>
      <c r="I201" s="241"/>
      <c r="J201" s="241" t="s">
        <v>308</v>
      </c>
      <c r="K201" s="241" t="s">
        <v>338</v>
      </c>
      <c r="L201" s="241" t="s">
        <v>342</v>
      </c>
      <c r="M201" s="241" t="str">
        <f t="shared" si="22"/>
        <v>Residual oilSea Navigation - International</v>
      </c>
      <c r="N201" s="403">
        <v>78.000000000000014</v>
      </c>
      <c r="O201" s="405">
        <v>1.42E-3</v>
      </c>
      <c r="P201" s="404">
        <v>1.9559902200489E-3</v>
      </c>
      <c r="Q201" s="237">
        <f>O201*_xlfn.XLOOKUP('Emission Factors'!O$16,GWPs!$B:$B,GWPs!$E:$E)</f>
        <v>3.5500000000000004E-2</v>
      </c>
      <c r="R201" s="242">
        <f>P201*_xlfn.XLOOKUP('Emission Factors'!P$16,GWPs!$B:$B,GWPs!$E:$E)</f>
        <v>0.58288508557457219</v>
      </c>
      <c r="S201" s="243">
        <f>N201+(_xlfn.XLOOKUP($O$16,GWPs!$B:$B,GWPs!$E:$E)*O201)+(_xlfn.XLOOKUP($P$16,GWPs!$B:$B,GWPs!$E:$E)*P201)</f>
        <v>78.618385085574587</v>
      </c>
      <c r="T201" s="385">
        <f>N201+(_xlfn.XLOOKUP($O$16,GWPs!$B:$B,GWPs!$F:$F)*O201)+(_xlfn.XLOOKUP($P$16,GWPs!$B:$B,GWPs!$F:$F)*P201)</f>
        <v>78.558097408312975</v>
      </c>
      <c r="U201" s="241" t="s">
        <v>309</v>
      </c>
      <c r="V201" s="414" t="s">
        <v>1312</v>
      </c>
      <c r="W201" s="218" t="s">
        <v>310</v>
      </c>
      <c r="X201" s="73" t="s">
        <v>246</v>
      </c>
      <c r="Y201" s="67"/>
      <c r="Z201" s="67"/>
      <c r="AA201" s="67"/>
      <c r="AB201" s="67"/>
      <c r="AC201" s="67"/>
    </row>
    <row r="202" spans="2:29" ht="14.85" customHeight="1">
      <c r="B202" s="166"/>
      <c r="C202" s="173"/>
      <c r="D202" s="212">
        <v>3</v>
      </c>
      <c r="E202" s="212" t="s">
        <v>411</v>
      </c>
      <c r="F202" s="212" t="str">
        <f t="shared" si="21"/>
        <v>3 - Upstream/Downstream Transportation and Distribution</v>
      </c>
      <c r="G202" s="241" t="s">
        <v>307</v>
      </c>
      <c r="H202" s="244" t="s">
        <v>343</v>
      </c>
      <c r="I202" s="244" t="s">
        <v>344</v>
      </c>
      <c r="J202" s="241" t="s">
        <v>308</v>
      </c>
      <c r="K202" s="244" t="s">
        <v>345</v>
      </c>
      <c r="L202" s="241" t="str">
        <f t="shared" ref="L202:L215" si="26">H202</f>
        <v>Passenger cars</v>
      </c>
      <c r="M202" s="241" t="str">
        <f t="shared" si="22"/>
        <v>Bio ethanolPassenger cars</v>
      </c>
      <c r="N202" s="403">
        <v>0</v>
      </c>
      <c r="O202" s="405">
        <v>2.2899999999999999E-3</v>
      </c>
      <c r="P202" s="405">
        <v>2.7E-4</v>
      </c>
      <c r="Q202" s="237">
        <f>O202*_xlfn.XLOOKUP('Emission Factors'!O$16,GWPs!$B:$B,GWPs!$E:$E)</f>
        <v>5.7249999999999995E-2</v>
      </c>
      <c r="R202" s="242">
        <f>P202*_xlfn.XLOOKUP('Emission Factors'!P$16,GWPs!$B:$B,GWPs!$E:$E)</f>
        <v>8.0460000000000004E-2</v>
      </c>
      <c r="S202" s="243">
        <f>N202+(_xlfn.XLOOKUP($O$16,GWPs!$B:$B,GWPs!$E:$E)*O202)+(_xlfn.XLOOKUP($P$16,GWPs!$B:$B,GWPs!$E:$E)*P202)</f>
        <v>0.13771</v>
      </c>
      <c r="T202" s="385">
        <f>N202+(_xlfn.XLOOKUP($O$16,GWPs!$B:$B,GWPs!$F:$F)*O202)+(_xlfn.XLOOKUP($P$16,GWPs!$B:$B,GWPs!$F:$F)*P202)</f>
        <v>0.13567000000000001</v>
      </c>
      <c r="U202" s="241" t="s">
        <v>309</v>
      </c>
      <c r="V202" s="414" t="s">
        <v>1312</v>
      </c>
      <c r="W202" s="218" t="s">
        <v>1269</v>
      </c>
      <c r="X202" s="73" t="s">
        <v>246</v>
      </c>
      <c r="Y202" s="67"/>
      <c r="Z202" s="67"/>
      <c r="AA202" s="67"/>
      <c r="AB202" s="67"/>
      <c r="AC202" s="67"/>
    </row>
    <row r="203" spans="2:29" ht="14.85" customHeight="1">
      <c r="B203" s="166"/>
      <c r="C203" s="173"/>
      <c r="D203" s="212">
        <v>3</v>
      </c>
      <c r="E203" s="212" t="s">
        <v>411</v>
      </c>
      <c r="F203" s="212" t="str">
        <f t="shared" si="21"/>
        <v>3 - Upstream/Downstream Transportation and Distribution</v>
      </c>
      <c r="G203" s="241" t="s">
        <v>307</v>
      </c>
      <c r="H203" s="244" t="s">
        <v>343</v>
      </c>
      <c r="I203" s="244" t="s">
        <v>344</v>
      </c>
      <c r="J203" s="241" t="s">
        <v>308</v>
      </c>
      <c r="K203" s="244" t="s">
        <v>346</v>
      </c>
      <c r="L203" s="241" t="str">
        <f t="shared" si="26"/>
        <v>Passenger cars</v>
      </c>
      <c r="M203" s="241" t="str">
        <f t="shared" si="22"/>
        <v>BiodieselPassenger cars</v>
      </c>
      <c r="N203" s="403">
        <v>4.2</v>
      </c>
      <c r="O203" s="404">
        <v>1.0000000000000001E-5</v>
      </c>
      <c r="P203" s="405">
        <v>2.2000000000000001E-3</v>
      </c>
      <c r="Q203" s="237">
        <f>O203*_xlfn.XLOOKUP('Emission Factors'!O$16,GWPs!$B:$B,GWPs!$E:$E)</f>
        <v>2.5000000000000001E-4</v>
      </c>
      <c r="R203" s="242">
        <f>P203*_xlfn.XLOOKUP('Emission Factors'!P$16,GWPs!$B:$B,GWPs!$E:$E)</f>
        <v>0.65560000000000007</v>
      </c>
      <c r="S203" s="243">
        <f>N203+(_xlfn.XLOOKUP($O$16,GWPs!$B:$B,GWPs!$E:$E)*O203)+(_xlfn.XLOOKUP($P$16,GWPs!$B:$B,GWPs!$E:$E)*P203)</f>
        <v>4.8558500000000002</v>
      </c>
      <c r="T203" s="385">
        <f>N203+(_xlfn.XLOOKUP($O$16,GWPs!$B:$B,GWPs!$F:$F)*O203)+(_xlfn.XLOOKUP($P$16,GWPs!$B:$B,GWPs!$F:$F)*P203)</f>
        <v>4.7832800000000004</v>
      </c>
      <c r="U203" s="241" t="s">
        <v>309</v>
      </c>
      <c r="V203" s="414" t="s">
        <v>1312</v>
      </c>
      <c r="W203" s="218" t="s">
        <v>1269</v>
      </c>
      <c r="X203" s="73" t="s">
        <v>246</v>
      </c>
      <c r="Y203" s="67"/>
      <c r="Z203" s="67"/>
      <c r="AA203" s="67"/>
      <c r="AB203" s="67"/>
      <c r="AC203" s="67"/>
    </row>
    <row r="204" spans="2:29" ht="14.85" customHeight="1">
      <c r="B204" s="166"/>
      <c r="C204" s="173"/>
      <c r="D204" s="212">
        <v>3</v>
      </c>
      <c r="E204" s="212" t="s">
        <v>411</v>
      </c>
      <c r="F204" s="212" t="str">
        <f t="shared" si="21"/>
        <v>3 - Upstream/Downstream Transportation and Distribution</v>
      </c>
      <c r="G204" s="241" t="s">
        <v>307</v>
      </c>
      <c r="H204" s="244" t="s">
        <v>343</v>
      </c>
      <c r="I204" s="244" t="s">
        <v>344</v>
      </c>
      <c r="J204" s="241" t="s">
        <v>308</v>
      </c>
      <c r="K204" s="244" t="s">
        <v>203</v>
      </c>
      <c r="L204" s="241" t="str">
        <f t="shared" si="26"/>
        <v>Passenger cars</v>
      </c>
      <c r="M204" s="241" t="str">
        <f t="shared" si="22"/>
        <v>DieselPassenger cars</v>
      </c>
      <c r="N204" s="403">
        <v>74.099999999999994</v>
      </c>
      <c r="O204" s="404">
        <v>1.0000000000000001E-5</v>
      </c>
      <c r="P204" s="405">
        <v>2.2000000000000001E-3</v>
      </c>
      <c r="Q204" s="237">
        <f>O204*_xlfn.XLOOKUP('Emission Factors'!O$16,GWPs!$B:$B,GWPs!$E:$E)</f>
        <v>2.5000000000000001E-4</v>
      </c>
      <c r="R204" s="242">
        <f>P204*_xlfn.XLOOKUP('Emission Factors'!P$16,GWPs!$B:$B,GWPs!$E:$E)</f>
        <v>0.65560000000000007</v>
      </c>
      <c r="S204" s="243">
        <f>N204+(_xlfn.XLOOKUP($O$16,GWPs!$B:$B,GWPs!$E:$E)*O204)+(_xlfn.XLOOKUP($P$16,GWPs!$B:$B,GWPs!$E:$E)*P204)</f>
        <v>74.755849999999995</v>
      </c>
      <c r="T204" s="385">
        <f>N204+(_xlfn.XLOOKUP($O$16,GWPs!$B:$B,GWPs!$F:$F)*O204)+(_xlfn.XLOOKUP($P$16,GWPs!$B:$B,GWPs!$F:$F)*P204)</f>
        <v>74.683279999999996</v>
      </c>
      <c r="U204" s="241" t="s">
        <v>309</v>
      </c>
      <c r="V204" s="414" t="s">
        <v>1312</v>
      </c>
      <c r="W204" s="218" t="s">
        <v>1269</v>
      </c>
      <c r="X204" s="73" t="s">
        <v>246</v>
      </c>
      <c r="Y204" s="67"/>
      <c r="Z204" s="67"/>
      <c r="AA204" s="67"/>
      <c r="AB204" s="67"/>
      <c r="AC204" s="67"/>
    </row>
    <row r="205" spans="2:29" ht="14.85" customHeight="1">
      <c r="B205" s="166"/>
      <c r="C205" s="173"/>
      <c r="D205" s="212">
        <v>3</v>
      </c>
      <c r="E205" s="212" t="s">
        <v>411</v>
      </c>
      <c r="F205" s="212" t="str">
        <f t="shared" si="21"/>
        <v>3 - Upstream/Downstream Transportation and Distribution</v>
      </c>
      <c r="G205" s="241" t="s">
        <v>307</v>
      </c>
      <c r="H205" s="244" t="s">
        <v>343</v>
      </c>
      <c r="I205" s="244" t="s">
        <v>344</v>
      </c>
      <c r="J205" s="241" t="s">
        <v>308</v>
      </c>
      <c r="K205" s="244" t="s">
        <v>207</v>
      </c>
      <c r="L205" s="241" t="str">
        <f t="shared" si="26"/>
        <v>Passenger cars</v>
      </c>
      <c r="M205" s="241" t="str">
        <f t="shared" si="22"/>
        <v>GasolinePassenger cars</v>
      </c>
      <c r="N205" s="403">
        <v>73</v>
      </c>
      <c r="O205" s="405">
        <v>2.2899999999999999E-3</v>
      </c>
      <c r="P205" s="405">
        <v>2.7E-4</v>
      </c>
      <c r="Q205" s="237">
        <f>O205*_xlfn.XLOOKUP('Emission Factors'!O$16,GWPs!$B:$B,GWPs!$E:$E)</f>
        <v>5.7249999999999995E-2</v>
      </c>
      <c r="R205" s="242">
        <f>P205*_xlfn.XLOOKUP('Emission Factors'!P$16,GWPs!$B:$B,GWPs!$E:$E)</f>
        <v>8.0460000000000004E-2</v>
      </c>
      <c r="S205" s="243">
        <f>N205+(_xlfn.XLOOKUP($O$16,GWPs!$B:$B,GWPs!$E:$E)*O205)+(_xlfn.XLOOKUP($P$16,GWPs!$B:$B,GWPs!$E:$E)*P205)</f>
        <v>73.137709999999998</v>
      </c>
      <c r="T205" s="385">
        <f>N205+(_xlfn.XLOOKUP($O$16,GWPs!$B:$B,GWPs!$F:$F)*O205)+(_xlfn.XLOOKUP($P$16,GWPs!$B:$B,GWPs!$F:$F)*P205)</f>
        <v>73.135670000000005</v>
      </c>
      <c r="U205" s="241" t="s">
        <v>309</v>
      </c>
      <c r="V205" s="414" t="s">
        <v>1312</v>
      </c>
      <c r="W205" s="218" t="s">
        <v>1269</v>
      </c>
      <c r="X205" s="73" t="s">
        <v>246</v>
      </c>
      <c r="Y205" s="67"/>
      <c r="Z205" s="67"/>
      <c r="AA205" s="67"/>
      <c r="AB205" s="67"/>
      <c r="AC205" s="67"/>
    </row>
    <row r="206" spans="2:29" ht="14.85" customHeight="1">
      <c r="B206" s="166"/>
      <c r="C206" s="173"/>
      <c r="D206" s="212">
        <v>3</v>
      </c>
      <c r="E206" s="212" t="s">
        <v>411</v>
      </c>
      <c r="F206" s="212" t="str">
        <f t="shared" si="21"/>
        <v>3 - Upstream/Downstream Transportation and Distribution</v>
      </c>
      <c r="G206" s="241" t="s">
        <v>307</v>
      </c>
      <c r="H206" s="244" t="s">
        <v>202</v>
      </c>
      <c r="I206" s="244" t="s">
        <v>344</v>
      </c>
      <c r="J206" s="241" t="s">
        <v>308</v>
      </c>
      <c r="K206" s="244" t="s">
        <v>345</v>
      </c>
      <c r="L206" s="241" t="str">
        <f t="shared" si="26"/>
        <v>Light duty vehicles</v>
      </c>
      <c r="M206" s="241" t="str">
        <f t="shared" si="22"/>
        <v>Bio ethanolLight duty vehicles</v>
      </c>
      <c r="N206" s="403">
        <v>0</v>
      </c>
      <c r="O206" s="405">
        <v>2.9399999999999999E-3</v>
      </c>
      <c r="P206" s="405">
        <v>1E-3</v>
      </c>
      <c r="Q206" s="237">
        <f>O206*_xlfn.XLOOKUP('Emission Factors'!O$16,GWPs!$B:$B,GWPs!$E:$E)</f>
        <v>7.3499999999999996E-2</v>
      </c>
      <c r="R206" s="242">
        <f>P206*_xlfn.XLOOKUP('Emission Factors'!P$16,GWPs!$B:$B,GWPs!$E:$E)</f>
        <v>0.29799999999999999</v>
      </c>
      <c r="S206" s="243">
        <f>N206+(_xlfn.XLOOKUP($O$16,GWPs!$B:$B,GWPs!$E:$E)*O206)+(_xlfn.XLOOKUP($P$16,GWPs!$B:$B,GWPs!$E:$E)*P206)</f>
        <v>0.3715</v>
      </c>
      <c r="T206" s="385">
        <f>N206+(_xlfn.XLOOKUP($O$16,GWPs!$B:$B,GWPs!$F:$F)*O206)+(_xlfn.XLOOKUP($P$16,GWPs!$B:$B,GWPs!$F:$F)*P206)</f>
        <v>0.34732000000000002</v>
      </c>
      <c r="U206" s="241" t="s">
        <v>309</v>
      </c>
      <c r="V206" s="414" t="s">
        <v>1312</v>
      </c>
      <c r="W206" s="218" t="s">
        <v>1269</v>
      </c>
      <c r="X206" s="73" t="s">
        <v>246</v>
      </c>
      <c r="Y206" s="67"/>
      <c r="Z206" s="67"/>
      <c r="AA206" s="67"/>
      <c r="AB206" s="67"/>
      <c r="AC206" s="67"/>
    </row>
    <row r="207" spans="2:29" ht="14.85" customHeight="1">
      <c r="B207" s="166"/>
      <c r="C207" s="173"/>
      <c r="D207" s="212">
        <v>3</v>
      </c>
      <c r="E207" s="212" t="s">
        <v>411</v>
      </c>
      <c r="F207" s="212" t="str">
        <f t="shared" si="21"/>
        <v>3 - Upstream/Downstream Transportation and Distribution</v>
      </c>
      <c r="G207" s="241" t="s">
        <v>307</v>
      </c>
      <c r="H207" s="244" t="s">
        <v>202</v>
      </c>
      <c r="I207" s="244" t="s">
        <v>344</v>
      </c>
      <c r="J207" s="241" t="s">
        <v>308</v>
      </c>
      <c r="K207" s="244" t="s">
        <v>346</v>
      </c>
      <c r="L207" s="241" t="str">
        <f t="shared" si="26"/>
        <v>Light duty vehicles</v>
      </c>
      <c r="M207" s="241" t="str">
        <f t="shared" si="22"/>
        <v>BiodieselLight duty vehicles</v>
      </c>
      <c r="N207" s="403">
        <v>4.2</v>
      </c>
      <c r="O207" s="405">
        <v>3.0000000000000001E-5</v>
      </c>
      <c r="P207" s="405">
        <v>1.58E-3</v>
      </c>
      <c r="Q207" s="237">
        <f>O207*_xlfn.XLOOKUP('Emission Factors'!O$16,GWPs!$B:$B,GWPs!$E:$E)</f>
        <v>7.5000000000000002E-4</v>
      </c>
      <c r="R207" s="242">
        <f>P207*_xlfn.XLOOKUP('Emission Factors'!P$16,GWPs!$B:$B,GWPs!$E:$E)</f>
        <v>0.47083999999999998</v>
      </c>
      <c r="S207" s="243">
        <f>N207+(_xlfn.XLOOKUP($O$16,GWPs!$B:$B,GWPs!$E:$E)*O207)+(_xlfn.XLOOKUP($P$16,GWPs!$B:$B,GWPs!$E:$E)*P207)</f>
        <v>4.6715900000000001</v>
      </c>
      <c r="T207" s="385">
        <f>N207+(_xlfn.XLOOKUP($O$16,GWPs!$B:$B,GWPs!$F:$F)*O207)+(_xlfn.XLOOKUP($P$16,GWPs!$B:$B,GWPs!$F:$F)*P207)</f>
        <v>4.6195400000000006</v>
      </c>
      <c r="U207" s="241" t="s">
        <v>309</v>
      </c>
      <c r="V207" s="414" t="s">
        <v>1312</v>
      </c>
      <c r="W207" s="218" t="s">
        <v>1269</v>
      </c>
      <c r="X207" s="73" t="s">
        <v>246</v>
      </c>
      <c r="Y207" s="67"/>
      <c r="Z207" s="67"/>
      <c r="AA207" s="67"/>
      <c r="AB207" s="67"/>
      <c r="AC207" s="67"/>
    </row>
    <row r="208" spans="2:29" ht="14.85" customHeight="1">
      <c r="B208" s="166"/>
      <c r="C208" s="173"/>
      <c r="D208" s="212">
        <v>3</v>
      </c>
      <c r="E208" s="212" t="s">
        <v>411</v>
      </c>
      <c r="F208" s="212" t="str">
        <f t="shared" si="21"/>
        <v>3 - Upstream/Downstream Transportation and Distribution</v>
      </c>
      <c r="G208" s="241" t="s">
        <v>307</v>
      </c>
      <c r="H208" s="244" t="s">
        <v>202</v>
      </c>
      <c r="I208" s="244" t="s">
        <v>344</v>
      </c>
      <c r="J208" s="241" t="s">
        <v>308</v>
      </c>
      <c r="K208" s="244" t="s">
        <v>203</v>
      </c>
      <c r="L208" s="241" t="str">
        <f t="shared" si="26"/>
        <v>Light duty vehicles</v>
      </c>
      <c r="M208" s="241" t="str">
        <f t="shared" si="22"/>
        <v>DieselLight duty vehicles</v>
      </c>
      <c r="N208" s="403">
        <v>74.099999999999994</v>
      </c>
      <c r="O208" s="405">
        <v>3.0000000000000001E-5</v>
      </c>
      <c r="P208" s="405">
        <v>1.58E-3</v>
      </c>
      <c r="Q208" s="237">
        <f>O208*_xlfn.XLOOKUP('Emission Factors'!O$16,GWPs!$B:$B,GWPs!$E:$E)</f>
        <v>7.5000000000000002E-4</v>
      </c>
      <c r="R208" s="242">
        <f>P208*_xlfn.XLOOKUP('Emission Factors'!P$16,GWPs!$B:$B,GWPs!$E:$E)</f>
        <v>0.47083999999999998</v>
      </c>
      <c r="S208" s="243">
        <f>N208+(_xlfn.XLOOKUP($O$16,GWPs!$B:$B,GWPs!$E:$E)*O208)+(_xlfn.XLOOKUP($P$16,GWPs!$B:$B,GWPs!$E:$E)*P208)</f>
        <v>74.571589999999986</v>
      </c>
      <c r="T208" s="385">
        <f>N208+(_xlfn.XLOOKUP($O$16,GWPs!$B:$B,GWPs!$F:$F)*O208)+(_xlfn.XLOOKUP($P$16,GWPs!$B:$B,GWPs!$F:$F)*P208)</f>
        <v>74.519539999999992</v>
      </c>
      <c r="U208" s="241" t="s">
        <v>309</v>
      </c>
      <c r="V208" s="414" t="s">
        <v>1312</v>
      </c>
      <c r="W208" s="218" t="s">
        <v>1269</v>
      </c>
      <c r="X208" s="73" t="s">
        <v>246</v>
      </c>
      <c r="Y208" s="67"/>
      <c r="Z208" s="67"/>
      <c r="AA208" s="67"/>
      <c r="AB208" s="67"/>
      <c r="AC208" s="67"/>
    </row>
    <row r="209" spans="2:29" ht="14.85" customHeight="1">
      <c r="B209" s="166"/>
      <c r="C209" s="173"/>
      <c r="D209" s="212">
        <v>3</v>
      </c>
      <c r="E209" s="212" t="s">
        <v>411</v>
      </c>
      <c r="F209" s="212" t="str">
        <f t="shared" si="21"/>
        <v>3 - Upstream/Downstream Transportation and Distribution</v>
      </c>
      <c r="G209" s="241" t="s">
        <v>307</v>
      </c>
      <c r="H209" s="244" t="s">
        <v>202</v>
      </c>
      <c r="I209" s="244" t="s">
        <v>344</v>
      </c>
      <c r="J209" s="241" t="s">
        <v>308</v>
      </c>
      <c r="K209" s="244" t="s">
        <v>207</v>
      </c>
      <c r="L209" s="241" t="str">
        <f t="shared" si="26"/>
        <v>Light duty vehicles</v>
      </c>
      <c r="M209" s="241" t="str">
        <f t="shared" si="22"/>
        <v>GasolineLight duty vehicles</v>
      </c>
      <c r="N209" s="403">
        <v>73</v>
      </c>
      <c r="O209" s="405">
        <v>2.9399999999999999E-3</v>
      </c>
      <c r="P209" s="405">
        <v>1E-3</v>
      </c>
      <c r="Q209" s="237">
        <f>O209*_xlfn.XLOOKUP('Emission Factors'!O$16,GWPs!$B:$B,GWPs!$E:$E)</f>
        <v>7.3499999999999996E-2</v>
      </c>
      <c r="R209" s="242">
        <f>P209*_xlfn.XLOOKUP('Emission Factors'!P$16,GWPs!$B:$B,GWPs!$E:$E)</f>
        <v>0.29799999999999999</v>
      </c>
      <c r="S209" s="243">
        <f>N209+(_xlfn.XLOOKUP($O$16,GWPs!$B:$B,GWPs!$E:$E)*O209)+(_xlfn.XLOOKUP($P$16,GWPs!$B:$B,GWPs!$E:$E)*P209)</f>
        <v>73.371499999999997</v>
      </c>
      <c r="T209" s="385">
        <f>N209+(_xlfn.XLOOKUP($O$16,GWPs!$B:$B,GWPs!$F:$F)*O209)+(_xlfn.XLOOKUP($P$16,GWPs!$B:$B,GWPs!$F:$F)*P209)</f>
        <v>73.347319999999996</v>
      </c>
      <c r="U209" s="241" t="s">
        <v>309</v>
      </c>
      <c r="V209" s="414" t="s">
        <v>1312</v>
      </c>
      <c r="W209" s="218" t="s">
        <v>1269</v>
      </c>
      <c r="X209" s="73" t="s">
        <v>246</v>
      </c>
      <c r="Y209" s="67"/>
      <c r="Z209" s="67"/>
      <c r="AA209" s="67"/>
      <c r="AB209" s="67"/>
      <c r="AC209" s="67"/>
    </row>
    <row r="210" spans="2:29" ht="14.85" customHeight="1">
      <c r="B210" s="166"/>
      <c r="C210" s="173"/>
      <c r="D210" s="212">
        <v>3</v>
      </c>
      <c r="E210" s="212" t="s">
        <v>411</v>
      </c>
      <c r="F210" s="212" t="str">
        <f t="shared" si="21"/>
        <v>3 - Upstream/Downstream Transportation and Distribution</v>
      </c>
      <c r="G210" s="241" t="s">
        <v>307</v>
      </c>
      <c r="H210" s="244" t="s">
        <v>206</v>
      </c>
      <c r="I210" s="244" t="s">
        <v>344</v>
      </c>
      <c r="J210" s="241" t="s">
        <v>308</v>
      </c>
      <c r="K210" s="244" t="s">
        <v>345</v>
      </c>
      <c r="L210" s="241" t="str">
        <f t="shared" si="26"/>
        <v>Heavy duty vehicles</v>
      </c>
      <c r="M210" s="241" t="str">
        <f t="shared" si="22"/>
        <v>Bio ethanolHeavy duty vehicles</v>
      </c>
      <c r="N210" s="403">
        <v>0</v>
      </c>
      <c r="O210" s="405">
        <v>1.7340000000000001E-2</v>
      </c>
      <c r="P210" s="405">
        <v>9.5E-4</v>
      </c>
      <c r="Q210" s="237">
        <f>O210*_xlfn.XLOOKUP('Emission Factors'!O$16,GWPs!$B:$B,GWPs!$E:$E)</f>
        <v>0.43350000000000005</v>
      </c>
      <c r="R210" s="242">
        <f>P210*_xlfn.XLOOKUP('Emission Factors'!P$16,GWPs!$B:$B,GWPs!$E:$E)</f>
        <v>0.28310000000000002</v>
      </c>
      <c r="S210" s="243">
        <f>N210+(_xlfn.XLOOKUP($O$16,GWPs!$B:$B,GWPs!$E:$E)*O210)+(_xlfn.XLOOKUP($P$16,GWPs!$B:$B,GWPs!$E:$E)*P210)</f>
        <v>0.71660000000000013</v>
      </c>
      <c r="T210" s="385">
        <f>N210+(_xlfn.XLOOKUP($O$16,GWPs!$B:$B,GWPs!$F:$F)*O210)+(_xlfn.XLOOKUP($P$16,GWPs!$B:$B,GWPs!$F:$F)*P210)</f>
        <v>0.73727000000000009</v>
      </c>
      <c r="U210" s="241" t="s">
        <v>309</v>
      </c>
      <c r="V210" s="414" t="s">
        <v>1312</v>
      </c>
      <c r="W210" s="218" t="s">
        <v>1269</v>
      </c>
      <c r="X210" s="73" t="s">
        <v>246</v>
      </c>
      <c r="Y210" s="67"/>
      <c r="Z210" s="67"/>
      <c r="AA210" s="67"/>
      <c r="AB210" s="67"/>
      <c r="AC210" s="67"/>
    </row>
    <row r="211" spans="2:29" ht="14.85" customHeight="1">
      <c r="B211" s="166"/>
      <c r="C211" s="173"/>
      <c r="D211" s="212">
        <v>3</v>
      </c>
      <c r="E211" s="212" t="s">
        <v>411</v>
      </c>
      <c r="F211" s="212" t="str">
        <f t="shared" si="21"/>
        <v>3 - Upstream/Downstream Transportation and Distribution</v>
      </c>
      <c r="G211" s="241" t="s">
        <v>307</v>
      </c>
      <c r="H211" s="244" t="s">
        <v>206</v>
      </c>
      <c r="I211" s="244" t="s">
        <v>344</v>
      </c>
      <c r="J211" s="241" t="s">
        <v>308</v>
      </c>
      <c r="K211" s="244" t="s">
        <v>346</v>
      </c>
      <c r="L211" s="241" t="str">
        <f t="shared" si="26"/>
        <v>Heavy duty vehicles</v>
      </c>
      <c r="M211" s="241" t="str">
        <f t="shared" si="22"/>
        <v>BiodieselHeavy duty vehicles</v>
      </c>
      <c r="N211" s="403">
        <v>4.2</v>
      </c>
      <c r="O211" s="405">
        <v>6.4000000000000005E-4</v>
      </c>
      <c r="P211" s="405">
        <v>5.2199999999999998E-3</v>
      </c>
      <c r="Q211" s="237">
        <f>O211*_xlfn.XLOOKUP('Emission Factors'!O$16,GWPs!$B:$B,GWPs!$E:$E)</f>
        <v>1.6E-2</v>
      </c>
      <c r="R211" s="242">
        <f>P211*_xlfn.XLOOKUP('Emission Factors'!P$16,GWPs!$B:$B,GWPs!$E:$E)</f>
        <v>1.5555600000000001</v>
      </c>
      <c r="S211" s="243">
        <f>N211+(_xlfn.XLOOKUP($O$16,GWPs!$B:$B,GWPs!$E:$E)*O211)+(_xlfn.XLOOKUP($P$16,GWPs!$B:$B,GWPs!$E:$E)*P211)</f>
        <v>5.77156</v>
      </c>
      <c r="T211" s="385">
        <f>N211+(_xlfn.XLOOKUP($O$16,GWPs!$B:$B,GWPs!$F:$F)*O211)+(_xlfn.XLOOKUP($P$16,GWPs!$B:$B,GWPs!$F:$F)*P211)</f>
        <v>5.6012200000000005</v>
      </c>
      <c r="U211" s="241" t="s">
        <v>309</v>
      </c>
      <c r="V211" s="414" t="s">
        <v>1312</v>
      </c>
      <c r="W211" s="218" t="s">
        <v>1269</v>
      </c>
      <c r="X211" s="73" t="s">
        <v>246</v>
      </c>
      <c r="Y211" s="67"/>
      <c r="Z211" s="67"/>
      <c r="AA211" s="67"/>
      <c r="AB211" s="67"/>
      <c r="AC211" s="67"/>
    </row>
    <row r="212" spans="2:29" ht="14.85" customHeight="1">
      <c r="B212" s="166"/>
      <c r="C212" s="173"/>
      <c r="D212" s="212">
        <v>3</v>
      </c>
      <c r="E212" s="212" t="s">
        <v>411</v>
      </c>
      <c r="F212" s="212" t="str">
        <f t="shared" si="21"/>
        <v>3 - Upstream/Downstream Transportation and Distribution</v>
      </c>
      <c r="G212" s="241" t="s">
        <v>307</v>
      </c>
      <c r="H212" s="244" t="s">
        <v>206</v>
      </c>
      <c r="I212" s="244" t="s">
        <v>344</v>
      </c>
      <c r="J212" s="241" t="s">
        <v>308</v>
      </c>
      <c r="K212" s="244" t="s">
        <v>203</v>
      </c>
      <c r="L212" s="241" t="str">
        <f t="shared" si="26"/>
        <v>Heavy duty vehicles</v>
      </c>
      <c r="M212" s="241" t="str">
        <f t="shared" si="22"/>
        <v>DieselHeavy duty vehicles</v>
      </c>
      <c r="N212" s="403">
        <v>74.099999999999994</v>
      </c>
      <c r="O212" s="405">
        <v>6.4000000000000005E-4</v>
      </c>
      <c r="P212" s="405">
        <v>5.2199999999999998E-3</v>
      </c>
      <c r="Q212" s="237">
        <f>O212*_xlfn.XLOOKUP('Emission Factors'!O$16,GWPs!$B:$B,GWPs!$E:$E)</f>
        <v>1.6E-2</v>
      </c>
      <c r="R212" s="242">
        <f>P212*_xlfn.XLOOKUP('Emission Factors'!P$16,GWPs!$B:$B,GWPs!$E:$E)</f>
        <v>1.5555600000000001</v>
      </c>
      <c r="S212" s="243">
        <f>N212+(_xlfn.XLOOKUP($O$16,GWPs!$B:$B,GWPs!$E:$E)*O212)+(_xlfn.XLOOKUP($P$16,GWPs!$B:$B,GWPs!$E:$E)*P212)</f>
        <v>75.671559999999999</v>
      </c>
      <c r="T212" s="385">
        <f>N212+(_xlfn.XLOOKUP($O$16,GWPs!$B:$B,GWPs!$F:$F)*O212)+(_xlfn.XLOOKUP($P$16,GWPs!$B:$B,GWPs!$F:$F)*P212)</f>
        <v>75.501220000000004</v>
      </c>
      <c r="U212" s="241" t="s">
        <v>309</v>
      </c>
      <c r="V212" s="414" t="s">
        <v>1312</v>
      </c>
      <c r="W212" s="218" t="s">
        <v>1269</v>
      </c>
      <c r="X212" s="73" t="s">
        <v>246</v>
      </c>
      <c r="Y212" s="67"/>
      <c r="Z212" s="67"/>
      <c r="AA212" s="67"/>
      <c r="AB212" s="67"/>
      <c r="AC212" s="67"/>
    </row>
    <row r="213" spans="2:29" ht="14.85" customHeight="1">
      <c r="B213" s="166"/>
      <c r="C213" s="173"/>
      <c r="D213" s="212">
        <v>3</v>
      </c>
      <c r="E213" s="212" t="s">
        <v>411</v>
      </c>
      <c r="F213" s="212" t="str">
        <f t="shared" si="21"/>
        <v>3 - Upstream/Downstream Transportation and Distribution</v>
      </c>
      <c r="G213" s="241" t="s">
        <v>307</v>
      </c>
      <c r="H213" s="244" t="s">
        <v>206</v>
      </c>
      <c r="I213" s="244" t="s">
        <v>344</v>
      </c>
      <c r="J213" s="241" t="s">
        <v>308</v>
      </c>
      <c r="K213" s="244" t="s">
        <v>207</v>
      </c>
      <c r="L213" s="241" t="str">
        <f t="shared" si="26"/>
        <v>Heavy duty vehicles</v>
      </c>
      <c r="M213" s="241" t="str">
        <f t="shared" si="22"/>
        <v>GasolineHeavy duty vehicles</v>
      </c>
      <c r="N213" s="403">
        <v>73</v>
      </c>
      <c r="O213" s="405">
        <v>1.7340000000000001E-2</v>
      </c>
      <c r="P213" s="405">
        <v>9.5E-4</v>
      </c>
      <c r="Q213" s="237">
        <f>O213*_xlfn.XLOOKUP('Emission Factors'!O$16,GWPs!$B:$B,GWPs!$E:$E)</f>
        <v>0.43350000000000005</v>
      </c>
      <c r="R213" s="242">
        <f>P213*_xlfn.XLOOKUP('Emission Factors'!P$16,GWPs!$B:$B,GWPs!$E:$E)</f>
        <v>0.28310000000000002</v>
      </c>
      <c r="S213" s="243">
        <f>N213+(_xlfn.XLOOKUP($O$16,GWPs!$B:$B,GWPs!$E:$E)*O213)+(_xlfn.XLOOKUP($P$16,GWPs!$B:$B,GWPs!$E:$E)*P213)</f>
        <v>73.7166</v>
      </c>
      <c r="T213" s="385">
        <f>N213+(_xlfn.XLOOKUP($O$16,GWPs!$B:$B,GWPs!$F:$F)*O213)+(_xlfn.XLOOKUP($P$16,GWPs!$B:$B,GWPs!$F:$F)*P213)</f>
        <v>73.737269999999995</v>
      </c>
      <c r="U213" s="241" t="s">
        <v>309</v>
      </c>
      <c r="V213" s="414" t="s">
        <v>1312</v>
      </c>
      <c r="W213" s="218" t="s">
        <v>1269</v>
      </c>
      <c r="X213" s="73" t="s">
        <v>246</v>
      </c>
      <c r="Y213" s="67"/>
      <c r="Z213" s="67"/>
      <c r="AA213" s="67"/>
      <c r="AB213" s="67"/>
      <c r="AC213" s="67"/>
    </row>
    <row r="214" spans="2:29" ht="14.85" customHeight="1">
      <c r="B214" s="166"/>
      <c r="C214" s="173"/>
      <c r="D214" s="212">
        <v>3</v>
      </c>
      <c r="E214" s="212" t="s">
        <v>411</v>
      </c>
      <c r="F214" s="212" t="str">
        <f t="shared" si="21"/>
        <v>3 - Upstream/Downstream Transportation and Distribution</v>
      </c>
      <c r="G214" s="241" t="s">
        <v>307</v>
      </c>
      <c r="H214" s="244" t="s">
        <v>347</v>
      </c>
      <c r="I214" s="244" t="s">
        <v>344</v>
      </c>
      <c r="J214" s="241" t="s">
        <v>308</v>
      </c>
      <c r="K214" s="244" t="s">
        <v>345</v>
      </c>
      <c r="L214" s="241" t="str">
        <f t="shared" si="26"/>
        <v>Motorcycles</v>
      </c>
      <c r="M214" s="241" t="str">
        <f t="shared" si="22"/>
        <v>Bio ethanolMotorcycles</v>
      </c>
      <c r="N214" s="403">
        <v>0</v>
      </c>
      <c r="O214" s="405">
        <v>7.5240000000000001E-2</v>
      </c>
      <c r="P214" s="405">
        <v>1.31E-3</v>
      </c>
      <c r="Q214" s="237">
        <f>O214*_xlfn.XLOOKUP('Emission Factors'!O$16,GWPs!$B:$B,GWPs!$E:$E)</f>
        <v>1.881</v>
      </c>
      <c r="R214" s="242">
        <f>P214*_xlfn.XLOOKUP('Emission Factors'!P$16,GWPs!$B:$B,GWPs!$E:$E)</f>
        <v>0.39038</v>
      </c>
      <c r="S214" s="243">
        <f>N214+(_xlfn.XLOOKUP($O$16,GWPs!$B:$B,GWPs!$E:$E)*O214)+(_xlfn.XLOOKUP($P$16,GWPs!$B:$B,GWPs!$E:$E)*P214)</f>
        <v>2.2713800000000002</v>
      </c>
      <c r="T214" s="385">
        <f>N214+(_xlfn.XLOOKUP($O$16,GWPs!$B:$B,GWPs!$F:$F)*O214)+(_xlfn.XLOOKUP($P$16,GWPs!$B:$B,GWPs!$F:$F)*P214)</f>
        <v>2.4538700000000002</v>
      </c>
      <c r="U214" s="241" t="s">
        <v>309</v>
      </c>
      <c r="V214" s="414" t="s">
        <v>1312</v>
      </c>
      <c r="W214" s="218" t="s">
        <v>1269</v>
      </c>
      <c r="X214" s="73" t="s">
        <v>246</v>
      </c>
      <c r="Y214" s="67"/>
      <c r="Z214" s="67"/>
      <c r="AA214" s="67"/>
      <c r="AB214" s="67"/>
      <c r="AC214" s="67"/>
    </row>
    <row r="215" spans="2:29" ht="14.85" customHeight="1">
      <c r="B215" s="166"/>
      <c r="C215" s="173"/>
      <c r="D215" s="212">
        <v>3</v>
      </c>
      <c r="E215" s="212" t="s">
        <v>411</v>
      </c>
      <c r="F215" s="212" t="str">
        <f t="shared" si="21"/>
        <v>3 - Upstream/Downstream Transportation and Distribution</v>
      </c>
      <c r="G215" s="241" t="s">
        <v>307</v>
      </c>
      <c r="H215" s="244" t="s">
        <v>347</v>
      </c>
      <c r="I215" s="244" t="s">
        <v>344</v>
      </c>
      <c r="J215" s="241" t="s">
        <v>308</v>
      </c>
      <c r="K215" s="244" t="s">
        <v>207</v>
      </c>
      <c r="L215" s="241" t="str">
        <f t="shared" si="26"/>
        <v>Motorcycles</v>
      </c>
      <c r="M215" s="241" t="str">
        <f t="shared" si="22"/>
        <v>GasolineMotorcycles</v>
      </c>
      <c r="N215" s="403">
        <v>73</v>
      </c>
      <c r="O215" s="405">
        <v>7.5240000000000001E-2</v>
      </c>
      <c r="P215" s="405">
        <v>1.31E-3</v>
      </c>
      <c r="Q215" s="237">
        <f>O215*_xlfn.XLOOKUP('Emission Factors'!O$16,GWPs!$B:$B,GWPs!$E:$E)</f>
        <v>1.881</v>
      </c>
      <c r="R215" s="242">
        <f>P215*_xlfn.XLOOKUP('Emission Factors'!P$16,GWPs!$B:$B,GWPs!$E:$E)</f>
        <v>0.39038</v>
      </c>
      <c r="S215" s="243">
        <f>N215+(_xlfn.XLOOKUP($O$16,GWPs!$B:$B,GWPs!$E:$E)*O215)+(_xlfn.XLOOKUP($P$16,GWPs!$B:$B,GWPs!$E:$E)*P215)</f>
        <v>75.271379999999994</v>
      </c>
      <c r="T215" s="385">
        <f>N215+(_xlfn.XLOOKUP($O$16,GWPs!$B:$B,GWPs!$F:$F)*O215)+(_xlfn.XLOOKUP($P$16,GWPs!$B:$B,GWPs!$F:$F)*P215)</f>
        <v>75.453869999999995</v>
      </c>
      <c r="U215" s="241" t="s">
        <v>309</v>
      </c>
      <c r="V215" s="414" t="s">
        <v>1312</v>
      </c>
      <c r="W215" s="218" t="s">
        <v>1269</v>
      </c>
      <c r="X215" s="73" t="s">
        <v>246</v>
      </c>
      <c r="Y215" s="67"/>
      <c r="Z215" s="67"/>
      <c r="AA215" s="67"/>
      <c r="AB215" s="67"/>
      <c r="AC215" s="67"/>
    </row>
    <row r="216" spans="2:29" ht="14.85" customHeight="1">
      <c r="B216" s="166"/>
      <c r="C216" s="173"/>
      <c r="D216" s="212">
        <v>3</v>
      </c>
      <c r="E216" s="212" t="s">
        <v>411</v>
      </c>
      <c r="F216" s="212" t="str">
        <f t="shared" si="21"/>
        <v>3 - Upstream/Downstream Transportation and Distribution</v>
      </c>
      <c r="G216" s="241" t="s">
        <v>307</v>
      </c>
      <c r="H216" s="244" t="s">
        <v>352</v>
      </c>
      <c r="I216" s="244"/>
      <c r="J216" s="244" t="s">
        <v>308</v>
      </c>
      <c r="K216" s="244" t="s">
        <v>353</v>
      </c>
      <c r="L216" s="244" t="str">
        <f>H216</f>
        <v>Air traffic, Dom. &lt; 3000 ft.</v>
      </c>
      <c r="M216" s="244" t="str">
        <f t="shared" si="22"/>
        <v>AvGasAir traffic, Dom. &lt; 3000 ft.</v>
      </c>
      <c r="N216" s="407">
        <v>73</v>
      </c>
      <c r="O216" s="406">
        <v>8.6199999999999992E-3</v>
      </c>
      <c r="P216" s="406">
        <v>2E-3</v>
      </c>
      <c r="Q216" s="238">
        <f>O216*_xlfn.XLOOKUP('Emission Factors'!O$16,GWPs!$B:$B,GWPs!$E:$E)</f>
        <v>0.21549999999999997</v>
      </c>
      <c r="R216" s="245">
        <f>P216*_xlfn.XLOOKUP('Emission Factors'!P$16,GWPs!$B:$B,GWPs!$E:$E)</f>
        <v>0.59599999999999997</v>
      </c>
      <c r="S216" s="246">
        <f>N216+(_xlfn.XLOOKUP($O$16,GWPs!$B:$B,GWPs!$E:$E)*O216)+(_xlfn.XLOOKUP($P$16,GWPs!$B:$B,GWPs!$E:$E)*P216)</f>
        <v>73.811500000000009</v>
      </c>
      <c r="T216" s="385">
        <f>N216+(_xlfn.XLOOKUP($O$16,GWPs!$B:$B,GWPs!$F:$F)*O216)+(_xlfn.XLOOKUP($P$16,GWPs!$B:$B,GWPs!$F:$F)*P216)</f>
        <v>73.771360000000001</v>
      </c>
      <c r="U216" s="244" t="s">
        <v>309</v>
      </c>
      <c r="V216" s="415"/>
      <c r="W216" s="218" t="s">
        <v>1269</v>
      </c>
      <c r="X216" s="73" t="s">
        <v>246</v>
      </c>
      <c r="Y216" s="67"/>
      <c r="Z216" s="67"/>
      <c r="AA216" s="67"/>
      <c r="AB216" s="67"/>
      <c r="AC216" s="67"/>
    </row>
    <row r="217" spans="2:29" ht="14.85" customHeight="1">
      <c r="B217" s="166"/>
      <c r="C217" s="173"/>
      <c r="D217" s="212">
        <v>3</v>
      </c>
      <c r="E217" s="212" t="s">
        <v>411</v>
      </c>
      <c r="F217" s="212" t="str">
        <f t="shared" si="21"/>
        <v>3 - Upstream/Downstream Transportation and Distribution</v>
      </c>
      <c r="G217" s="241" t="s">
        <v>307</v>
      </c>
      <c r="H217" s="408" t="s">
        <v>325</v>
      </c>
      <c r="I217" s="408"/>
      <c r="J217" s="408" t="s">
        <v>308</v>
      </c>
      <c r="K217" s="408" t="s">
        <v>345</v>
      </c>
      <c r="L217" s="408" t="s">
        <v>325</v>
      </c>
      <c r="M217" s="408" t="str">
        <f t="shared" si="22"/>
        <v>Bio ethanolAgriculture</v>
      </c>
      <c r="N217" s="407">
        <v>0</v>
      </c>
      <c r="O217" s="410">
        <v>0.15162</v>
      </c>
      <c r="P217" s="410">
        <v>1.6199999999999999E-3</v>
      </c>
      <c r="Q217" s="237">
        <f>O217*_xlfn.XLOOKUP('Emission Factors'!O$16,GWPs!$B:$B,GWPs!$E:$E)</f>
        <v>3.7905000000000002</v>
      </c>
      <c r="R217" s="242">
        <f>P217*_xlfn.XLOOKUP('Emission Factors'!P$16,GWPs!$B:$B,GWPs!$E:$E)</f>
        <v>0.48275999999999997</v>
      </c>
      <c r="S217" s="243">
        <f>N217+(_xlfn.XLOOKUP($O$16,GWPs!$B:$B,GWPs!$E:$E)*O217)+(_xlfn.XLOOKUP($P$16,GWPs!$B:$B,GWPs!$E:$E)*P217)</f>
        <v>4.2732600000000005</v>
      </c>
      <c r="T217" s="385">
        <f>N217+(_xlfn.XLOOKUP($O$16,GWPs!$B:$B,GWPs!$F:$F)*O217)+(_xlfn.XLOOKUP($P$16,GWPs!$B:$B,GWPs!$F:$F)*P217)</f>
        <v>4.6746599999999994</v>
      </c>
      <c r="U217" s="241" t="s">
        <v>309</v>
      </c>
      <c r="V217" s="415"/>
      <c r="W217" s="218" t="s">
        <v>1269</v>
      </c>
      <c r="X217" s="73" t="s">
        <v>246</v>
      </c>
      <c r="Y217" s="67"/>
      <c r="Z217" s="67"/>
      <c r="AA217" s="67"/>
      <c r="AB217" s="67"/>
      <c r="AC217" s="67"/>
    </row>
    <row r="218" spans="2:29" ht="14.85" customHeight="1">
      <c r="B218" s="166"/>
      <c r="C218" s="173"/>
      <c r="D218" s="212">
        <v>3</v>
      </c>
      <c r="E218" s="212" t="s">
        <v>411</v>
      </c>
      <c r="F218" s="212" t="str">
        <f t="shared" si="21"/>
        <v>3 - Upstream/Downstream Transportation and Distribution</v>
      </c>
      <c r="G218" s="241" t="s">
        <v>307</v>
      </c>
      <c r="H218" s="408" t="s">
        <v>325</v>
      </c>
      <c r="I218" s="408"/>
      <c r="J218" s="408" t="s">
        <v>308</v>
      </c>
      <c r="K218" s="408" t="s">
        <v>203</v>
      </c>
      <c r="L218" s="408" t="s">
        <v>325</v>
      </c>
      <c r="M218" s="408" t="str">
        <f t="shared" si="22"/>
        <v>DieselAgriculture</v>
      </c>
      <c r="N218" s="407">
        <v>74.099999999999994</v>
      </c>
      <c r="O218" s="410">
        <v>7.6999999999999996E-4</v>
      </c>
      <c r="P218" s="410">
        <v>3.5799999999999998E-3</v>
      </c>
      <c r="Q218" s="237">
        <f>O218*_xlfn.XLOOKUP('Emission Factors'!O$16,GWPs!$B:$B,GWPs!$E:$E)</f>
        <v>1.925E-2</v>
      </c>
      <c r="R218" s="242">
        <f>P218*_xlfn.XLOOKUP('Emission Factors'!P$16,GWPs!$B:$B,GWPs!$E:$E)</f>
        <v>1.06684</v>
      </c>
      <c r="S218" s="243">
        <f>N218+(_xlfn.XLOOKUP($O$16,GWPs!$B:$B,GWPs!$E:$E)*O218)+(_xlfn.XLOOKUP($P$16,GWPs!$B:$B,GWPs!$E:$E)*P218)</f>
        <v>75.186089999999993</v>
      </c>
      <c r="T218" s="385">
        <f>N218+(_xlfn.XLOOKUP($O$16,GWPs!$B:$B,GWPs!$F:$F)*O218)+(_xlfn.XLOOKUP($P$16,GWPs!$B:$B,GWPs!$F:$F)*P218)</f>
        <v>75.07025999999999</v>
      </c>
      <c r="U218" s="241" t="s">
        <v>309</v>
      </c>
      <c r="V218" s="241"/>
      <c r="W218" s="218" t="s">
        <v>1269</v>
      </c>
      <c r="X218" s="73" t="s">
        <v>246</v>
      </c>
      <c r="Y218" s="67"/>
      <c r="Z218" s="67"/>
      <c r="AA218" s="67"/>
      <c r="AB218" s="67"/>
      <c r="AC218" s="67"/>
    </row>
    <row r="219" spans="2:29" ht="14.85" customHeight="1">
      <c r="B219" s="166"/>
      <c r="C219" s="173"/>
      <c r="D219" s="212">
        <v>3</v>
      </c>
      <c r="E219" s="212" t="s">
        <v>411</v>
      </c>
      <c r="F219" s="212" t="str">
        <f t="shared" si="21"/>
        <v>3 - Upstream/Downstream Transportation and Distribution</v>
      </c>
      <c r="G219" s="241" t="s">
        <v>307</v>
      </c>
      <c r="H219" s="408" t="s">
        <v>325</v>
      </c>
      <c r="I219" s="408"/>
      <c r="J219" s="408" t="s">
        <v>308</v>
      </c>
      <c r="K219" s="408" t="s">
        <v>207</v>
      </c>
      <c r="L219" s="408" t="s">
        <v>325</v>
      </c>
      <c r="M219" s="408" t="str">
        <f t="shared" si="22"/>
        <v>GasolineAgriculture</v>
      </c>
      <c r="N219" s="407">
        <v>73</v>
      </c>
      <c r="O219" s="410">
        <v>0.15162</v>
      </c>
      <c r="P219" s="410">
        <v>1.6199999999999999E-3</v>
      </c>
      <c r="Q219" s="237">
        <f>O219*_xlfn.XLOOKUP('Emission Factors'!O$16,GWPs!$B:$B,GWPs!$E:$E)</f>
        <v>3.7905000000000002</v>
      </c>
      <c r="R219" s="242">
        <f>P219*_xlfn.XLOOKUP('Emission Factors'!P$16,GWPs!$B:$B,GWPs!$E:$E)</f>
        <v>0.48275999999999997</v>
      </c>
      <c r="S219" s="243">
        <f>N219+(_xlfn.XLOOKUP($O$16,GWPs!$B:$B,GWPs!$E:$E)*O219)+(_xlfn.XLOOKUP($P$16,GWPs!$B:$B,GWPs!$E:$E)*P219)</f>
        <v>77.273259999999993</v>
      </c>
      <c r="T219" s="385">
        <f>N219+(_xlfn.XLOOKUP($O$16,GWPs!$B:$B,GWPs!$F:$F)*O219)+(_xlfn.XLOOKUP($P$16,GWPs!$B:$B,GWPs!$F:$F)*P219)</f>
        <v>77.674660000000003</v>
      </c>
      <c r="U219" s="241" t="s">
        <v>309</v>
      </c>
      <c r="V219" s="241"/>
      <c r="W219" s="218" t="s">
        <v>1269</v>
      </c>
      <c r="X219" s="73" t="s">
        <v>246</v>
      </c>
      <c r="Y219" s="67"/>
      <c r="Z219" s="67"/>
      <c r="AA219" s="67"/>
      <c r="AB219" s="67"/>
      <c r="AC219" s="67"/>
    </row>
    <row r="220" spans="2:29" ht="14.85" customHeight="1">
      <c r="B220" s="166"/>
      <c r="C220" s="173"/>
      <c r="D220" s="212">
        <v>3</v>
      </c>
      <c r="E220" s="212" t="s">
        <v>411</v>
      </c>
      <c r="F220" s="212" t="str">
        <f t="shared" si="21"/>
        <v>3 - Upstream/Downstream Transportation and Distribution</v>
      </c>
      <c r="G220" s="241" t="s">
        <v>307</v>
      </c>
      <c r="H220" s="408" t="s">
        <v>348</v>
      </c>
      <c r="I220" s="408"/>
      <c r="J220" s="408" t="s">
        <v>308</v>
      </c>
      <c r="K220" s="408" t="s">
        <v>345</v>
      </c>
      <c r="L220" s="408" t="s">
        <v>348</v>
      </c>
      <c r="M220" s="408" t="str">
        <f t="shared" si="22"/>
        <v>Bio ethanolForestry</v>
      </c>
      <c r="N220" s="407">
        <v>0</v>
      </c>
      <c r="O220" s="406">
        <v>0.24084</v>
      </c>
      <c r="P220" s="406">
        <v>4.6000000000000001E-4</v>
      </c>
      <c r="Q220" s="237">
        <f>O220*_xlfn.XLOOKUP('Emission Factors'!O$16,GWPs!$B:$B,GWPs!$E:$E)</f>
        <v>6.0209999999999999</v>
      </c>
      <c r="R220" s="242">
        <f>P220*_xlfn.XLOOKUP('Emission Factors'!P$16,GWPs!$B:$B,GWPs!$E:$E)</f>
        <v>0.13708000000000001</v>
      </c>
      <c r="S220" s="243">
        <f>N220+(_xlfn.XLOOKUP($O$16,GWPs!$B:$B,GWPs!$E:$E)*O220)+(_xlfn.XLOOKUP($P$16,GWPs!$B:$B,GWPs!$E:$E)*P220)</f>
        <v>6.15808</v>
      </c>
      <c r="T220" s="385">
        <f>N220+(_xlfn.XLOOKUP($O$16,GWPs!$B:$B,GWPs!$F:$F)*O220)+(_xlfn.XLOOKUP($P$16,GWPs!$B:$B,GWPs!$F:$F)*P220)</f>
        <v>6.8654200000000003</v>
      </c>
      <c r="U220" s="241" t="s">
        <v>309</v>
      </c>
      <c r="V220" s="241"/>
      <c r="W220" s="218" t="s">
        <v>1269</v>
      </c>
      <c r="X220" s="73" t="s">
        <v>246</v>
      </c>
      <c r="Y220" s="67"/>
      <c r="Z220" s="67"/>
      <c r="AA220" s="67"/>
      <c r="AB220" s="67"/>
      <c r="AC220" s="67"/>
    </row>
    <row r="221" spans="2:29" ht="14.85" customHeight="1">
      <c r="B221" s="166"/>
      <c r="C221" s="173"/>
      <c r="D221" s="212">
        <v>3</v>
      </c>
      <c r="E221" s="212" t="s">
        <v>411</v>
      </c>
      <c r="F221" s="212" t="str">
        <f t="shared" si="21"/>
        <v>3 - Upstream/Downstream Transportation and Distribution</v>
      </c>
      <c r="G221" s="241" t="s">
        <v>307</v>
      </c>
      <c r="H221" s="408" t="s">
        <v>348</v>
      </c>
      <c r="I221" s="408"/>
      <c r="J221" s="408" t="s">
        <v>308</v>
      </c>
      <c r="K221" s="408" t="s">
        <v>203</v>
      </c>
      <c r="L221" s="408" t="s">
        <v>348</v>
      </c>
      <c r="M221" s="408" t="str">
        <f t="shared" si="22"/>
        <v>DieselForestry</v>
      </c>
      <c r="N221" s="407">
        <v>74.099999999999994</v>
      </c>
      <c r="O221" s="406">
        <v>3.5999999999999997E-4</v>
      </c>
      <c r="P221" s="410">
        <v>3.7100000000000002E-3</v>
      </c>
      <c r="Q221" s="237">
        <f>O221*_xlfn.XLOOKUP('Emission Factors'!O$16,GWPs!$B:$B,GWPs!$E:$E)</f>
        <v>8.9999999999999993E-3</v>
      </c>
      <c r="R221" s="242">
        <f>P221*_xlfn.XLOOKUP('Emission Factors'!P$16,GWPs!$B:$B,GWPs!$E:$E)</f>
        <v>1.10558</v>
      </c>
      <c r="S221" s="243">
        <f>N221+(_xlfn.XLOOKUP($O$16,GWPs!$B:$B,GWPs!$E:$E)*O221)+(_xlfn.XLOOKUP($P$16,GWPs!$B:$B,GWPs!$E:$E)*P221)</f>
        <v>75.214579999999998</v>
      </c>
      <c r="T221" s="385">
        <f>N221+(_xlfn.XLOOKUP($O$16,GWPs!$B:$B,GWPs!$F:$F)*O221)+(_xlfn.XLOOKUP($P$16,GWPs!$B:$B,GWPs!$F:$F)*P221)</f>
        <v>75.093229999999991</v>
      </c>
      <c r="U221" s="241" t="s">
        <v>309</v>
      </c>
      <c r="V221" s="241"/>
      <c r="W221" s="218" t="s">
        <v>1269</v>
      </c>
      <c r="X221" s="73" t="s">
        <v>246</v>
      </c>
      <c r="Y221" s="67"/>
      <c r="Z221" s="67"/>
      <c r="AA221" s="67"/>
      <c r="AB221" s="67"/>
      <c r="AC221" s="67"/>
    </row>
    <row r="222" spans="2:29" ht="14.85" customHeight="1">
      <c r="B222" s="166"/>
      <c r="C222" s="173"/>
      <c r="D222" s="212">
        <v>3</v>
      </c>
      <c r="E222" s="212" t="s">
        <v>411</v>
      </c>
      <c r="F222" s="212" t="str">
        <f t="shared" si="21"/>
        <v>3 - Upstream/Downstream Transportation and Distribution</v>
      </c>
      <c r="G222" s="241" t="s">
        <v>307</v>
      </c>
      <c r="H222" s="408" t="s">
        <v>348</v>
      </c>
      <c r="I222" s="408"/>
      <c r="J222" s="408" t="s">
        <v>308</v>
      </c>
      <c r="K222" s="408" t="s">
        <v>207</v>
      </c>
      <c r="L222" s="408" t="s">
        <v>348</v>
      </c>
      <c r="M222" s="408" t="str">
        <f t="shared" si="22"/>
        <v>GasolineForestry</v>
      </c>
      <c r="N222" s="407">
        <v>73</v>
      </c>
      <c r="O222" s="406">
        <v>0.24084</v>
      </c>
      <c r="P222" s="406">
        <v>4.6000000000000001E-4</v>
      </c>
      <c r="Q222" s="237">
        <f>O222*_xlfn.XLOOKUP('Emission Factors'!O$16,GWPs!$B:$B,GWPs!$E:$E)</f>
        <v>6.0209999999999999</v>
      </c>
      <c r="R222" s="242">
        <f>P222*_xlfn.XLOOKUP('Emission Factors'!P$16,GWPs!$B:$B,GWPs!$E:$E)</f>
        <v>0.13708000000000001</v>
      </c>
      <c r="S222" s="243">
        <f>N222+(_xlfn.XLOOKUP($O$16,GWPs!$B:$B,GWPs!$E:$E)*O222)+(_xlfn.XLOOKUP($P$16,GWPs!$B:$B,GWPs!$E:$E)*P222)</f>
        <v>79.158079999999998</v>
      </c>
      <c r="T222" s="385">
        <f>N222+(_xlfn.XLOOKUP($O$16,GWPs!$B:$B,GWPs!$F:$F)*O222)+(_xlfn.XLOOKUP($P$16,GWPs!$B:$B,GWPs!$F:$F)*P222)</f>
        <v>79.86542</v>
      </c>
      <c r="U222" s="241" t="s">
        <v>309</v>
      </c>
      <c r="V222" s="241"/>
      <c r="W222" s="218" t="s">
        <v>1269</v>
      </c>
      <c r="X222" s="73" t="s">
        <v>246</v>
      </c>
      <c r="Y222" s="67"/>
      <c r="Z222" s="67"/>
      <c r="AA222" s="67"/>
      <c r="AB222" s="67"/>
      <c r="AC222" s="67"/>
    </row>
    <row r="223" spans="2:29" ht="14.85" customHeight="1">
      <c r="B223" s="166"/>
      <c r="C223" s="173"/>
      <c r="D223" s="212">
        <v>3</v>
      </c>
      <c r="E223" s="212" t="s">
        <v>411</v>
      </c>
      <c r="F223" s="212" t="str">
        <f t="shared" si="21"/>
        <v>3 - Upstream/Downstream Transportation and Distribution</v>
      </c>
      <c r="G223" s="241" t="s">
        <v>307</v>
      </c>
      <c r="H223" s="408" t="s">
        <v>349</v>
      </c>
      <c r="I223" s="408"/>
      <c r="J223" s="408" t="s">
        <v>308</v>
      </c>
      <c r="K223" s="408" t="s">
        <v>345</v>
      </c>
      <c r="L223" s="408" t="s">
        <v>322</v>
      </c>
      <c r="M223" s="408" t="str">
        <f t="shared" si="22"/>
        <v>Bio ethanolManufacturing industries and construction</v>
      </c>
      <c r="N223" s="407">
        <v>0</v>
      </c>
      <c r="O223" s="410">
        <v>4.0809999999999999E-2</v>
      </c>
      <c r="P223" s="410">
        <v>1.2199999999999999E-3</v>
      </c>
      <c r="Q223" s="237">
        <f>O223*_xlfn.XLOOKUP('Emission Factors'!O$16,GWPs!$B:$B,GWPs!$E:$E)</f>
        <v>1.0202499999999999</v>
      </c>
      <c r="R223" s="242">
        <f>P223*_xlfn.XLOOKUP('Emission Factors'!P$16,GWPs!$B:$B,GWPs!$E:$E)</f>
        <v>0.36355999999999999</v>
      </c>
      <c r="S223" s="243">
        <f>N223+(_xlfn.XLOOKUP($O$16,GWPs!$B:$B,GWPs!$E:$E)*O223)+(_xlfn.XLOOKUP($P$16,GWPs!$B:$B,GWPs!$E:$E)*P223)</f>
        <v>1.38381</v>
      </c>
      <c r="T223" s="385">
        <f>N223+(_xlfn.XLOOKUP($O$16,GWPs!$B:$B,GWPs!$F:$F)*O223)+(_xlfn.XLOOKUP($P$16,GWPs!$B:$B,GWPs!$F:$F)*P223)</f>
        <v>1.4659799999999998</v>
      </c>
      <c r="U223" s="241" t="s">
        <v>309</v>
      </c>
      <c r="V223" s="241"/>
      <c r="W223" s="218" t="s">
        <v>1269</v>
      </c>
      <c r="X223" s="73" t="s">
        <v>246</v>
      </c>
      <c r="Y223" s="67"/>
      <c r="Z223" s="67"/>
      <c r="AA223" s="67"/>
      <c r="AB223" s="67"/>
      <c r="AC223" s="67"/>
    </row>
    <row r="224" spans="2:29" ht="14.85" customHeight="1">
      <c r="B224" s="166"/>
      <c r="C224" s="173"/>
      <c r="D224" s="212">
        <v>3</v>
      </c>
      <c r="E224" s="212" t="s">
        <v>411</v>
      </c>
      <c r="F224" s="212" t="str">
        <f t="shared" si="21"/>
        <v>3 - Upstream/Downstream Transportation and Distribution</v>
      </c>
      <c r="G224" s="241" t="s">
        <v>307</v>
      </c>
      <c r="H224" s="408" t="s">
        <v>349</v>
      </c>
      <c r="I224" s="408"/>
      <c r="J224" s="408" t="s">
        <v>308</v>
      </c>
      <c r="K224" s="408" t="s">
        <v>203</v>
      </c>
      <c r="L224" s="408" t="s">
        <v>322</v>
      </c>
      <c r="M224" s="408" t="str">
        <f t="shared" si="22"/>
        <v>DieselManufacturing industries and construction</v>
      </c>
      <c r="N224" s="407">
        <v>74.099999999999994</v>
      </c>
      <c r="O224" s="410">
        <v>7.2999999999999996E-4</v>
      </c>
      <c r="P224" s="410">
        <v>3.5100000000000001E-3</v>
      </c>
      <c r="Q224" s="237">
        <f>O224*_xlfn.XLOOKUP('Emission Factors'!O$16,GWPs!$B:$B,GWPs!$E:$E)</f>
        <v>1.8249999999999999E-2</v>
      </c>
      <c r="R224" s="242">
        <f>P224*_xlfn.XLOOKUP('Emission Factors'!P$16,GWPs!$B:$B,GWPs!$E:$E)</f>
        <v>1.0459800000000001</v>
      </c>
      <c r="S224" s="243">
        <f>N224+(_xlfn.XLOOKUP($O$16,GWPs!$B:$B,GWPs!$E:$E)*O224)+(_xlfn.XLOOKUP($P$16,GWPs!$B:$B,GWPs!$E:$E)*P224)</f>
        <v>75.164229999999989</v>
      </c>
      <c r="T224" s="385">
        <f>N224+(_xlfn.XLOOKUP($O$16,GWPs!$B:$B,GWPs!$F:$F)*O224)+(_xlfn.XLOOKUP($P$16,GWPs!$B:$B,GWPs!$F:$F)*P224)</f>
        <v>75.050589999999985</v>
      </c>
      <c r="U224" s="241" t="s">
        <v>309</v>
      </c>
      <c r="V224" s="241"/>
      <c r="W224" s="218" t="s">
        <v>1269</v>
      </c>
      <c r="X224" s="73" t="s">
        <v>246</v>
      </c>
      <c r="Y224" s="67"/>
      <c r="Z224" s="67"/>
      <c r="AA224" s="67"/>
      <c r="AB224" s="67"/>
      <c r="AC224" s="67"/>
    </row>
    <row r="225" spans="2:29" ht="14.85" customHeight="1">
      <c r="B225" s="166"/>
      <c r="C225" s="173"/>
      <c r="D225" s="212">
        <v>3</v>
      </c>
      <c r="E225" s="212" t="s">
        <v>411</v>
      </c>
      <c r="F225" s="212" t="str">
        <f t="shared" si="21"/>
        <v>3 - Upstream/Downstream Transportation and Distribution</v>
      </c>
      <c r="G225" s="241" t="s">
        <v>307</v>
      </c>
      <c r="H225" s="408" t="s">
        <v>349</v>
      </c>
      <c r="I225" s="408"/>
      <c r="J225" s="408" t="s">
        <v>308</v>
      </c>
      <c r="K225" s="408" t="s">
        <v>207</v>
      </c>
      <c r="L225" s="408" t="s">
        <v>322</v>
      </c>
      <c r="M225" s="408" t="str">
        <f t="shared" si="22"/>
        <v>GasolineManufacturing industries and construction</v>
      </c>
      <c r="N225" s="407">
        <v>73</v>
      </c>
      <c r="O225" s="410">
        <v>4.0809999999999999E-2</v>
      </c>
      <c r="P225" s="410">
        <v>1.2199999999999999E-3</v>
      </c>
      <c r="Q225" s="237">
        <f>O225*_xlfn.XLOOKUP('Emission Factors'!O$16,GWPs!$B:$B,GWPs!$E:$E)</f>
        <v>1.0202499999999999</v>
      </c>
      <c r="R225" s="242">
        <f>P225*_xlfn.XLOOKUP('Emission Factors'!P$16,GWPs!$B:$B,GWPs!$E:$E)</f>
        <v>0.36355999999999999</v>
      </c>
      <c r="S225" s="243">
        <f>N225+(_xlfn.XLOOKUP($O$16,GWPs!$B:$B,GWPs!$E:$E)*O225)+(_xlfn.XLOOKUP($P$16,GWPs!$B:$B,GWPs!$E:$E)*P225)</f>
        <v>74.383810000000011</v>
      </c>
      <c r="T225" s="385">
        <f>N225+(_xlfn.XLOOKUP($O$16,GWPs!$B:$B,GWPs!$F:$F)*O225)+(_xlfn.XLOOKUP($P$16,GWPs!$B:$B,GWPs!$F:$F)*P225)</f>
        <v>74.465980000000002</v>
      </c>
      <c r="U225" s="241" t="s">
        <v>309</v>
      </c>
      <c r="V225" s="241"/>
      <c r="W225" s="218" t="s">
        <v>1269</v>
      </c>
      <c r="X225" s="73" t="s">
        <v>246</v>
      </c>
      <c r="Y225" s="67"/>
      <c r="Z225" s="67"/>
      <c r="AA225" s="67"/>
      <c r="AB225" s="67"/>
      <c r="AC225" s="67"/>
    </row>
    <row r="226" spans="2:29" ht="14.85" customHeight="1">
      <c r="B226" s="166"/>
      <c r="C226" s="173"/>
      <c r="D226" s="212">
        <v>3</v>
      </c>
      <c r="E226" s="212" t="s">
        <v>411</v>
      </c>
      <c r="F226" s="212" t="str">
        <f t="shared" si="21"/>
        <v>3 - Upstream/Downstream Transportation and Distribution</v>
      </c>
      <c r="G226" s="241" t="s">
        <v>307</v>
      </c>
      <c r="H226" s="408" t="s">
        <v>350</v>
      </c>
      <c r="I226" s="408"/>
      <c r="J226" s="408" t="s">
        <v>308</v>
      </c>
      <c r="K226" s="408" t="s">
        <v>345</v>
      </c>
      <c r="L226" s="408" t="s">
        <v>324</v>
      </c>
      <c r="M226" s="408" t="str">
        <f t="shared" si="22"/>
        <v>Bio ethanolResidential</v>
      </c>
      <c r="N226" s="407">
        <v>0</v>
      </c>
      <c r="O226" s="410">
        <v>5.0880000000000002E-2</v>
      </c>
      <c r="P226" s="406">
        <v>1.16E-3</v>
      </c>
      <c r="Q226" s="237">
        <f>O226*_xlfn.XLOOKUP('Emission Factors'!O$16,GWPs!$B:$B,GWPs!$E:$E)</f>
        <v>1.272</v>
      </c>
      <c r="R226" s="242">
        <f>P226*_xlfn.XLOOKUP('Emission Factors'!P$16,GWPs!$B:$B,GWPs!$E:$E)</f>
        <v>0.34567999999999999</v>
      </c>
      <c r="S226" s="243">
        <f>N226+(_xlfn.XLOOKUP($O$16,GWPs!$B:$B,GWPs!$E:$E)*O226)+(_xlfn.XLOOKUP($P$16,GWPs!$B:$B,GWPs!$E:$E)*P226)</f>
        <v>1.61768</v>
      </c>
      <c r="T226" s="385">
        <f>N226+(_xlfn.XLOOKUP($O$16,GWPs!$B:$B,GWPs!$F:$F)*O226)+(_xlfn.XLOOKUP($P$16,GWPs!$B:$B,GWPs!$F:$F)*P226)</f>
        <v>1.73204</v>
      </c>
      <c r="U226" s="241" t="s">
        <v>309</v>
      </c>
      <c r="V226" s="241"/>
      <c r="W226" s="218" t="s">
        <v>1269</v>
      </c>
      <c r="X226" s="73" t="s">
        <v>246</v>
      </c>
      <c r="Y226" s="67"/>
      <c r="Z226" s="67"/>
      <c r="AA226" s="67"/>
      <c r="AB226" s="67"/>
      <c r="AC226" s="67"/>
    </row>
    <row r="227" spans="2:29" ht="14.85" customHeight="1">
      <c r="B227" s="166"/>
      <c r="C227" s="173"/>
      <c r="D227" s="212">
        <v>3</v>
      </c>
      <c r="E227" s="212" t="s">
        <v>411</v>
      </c>
      <c r="F227" s="212" t="str">
        <f t="shared" si="21"/>
        <v>3 - Upstream/Downstream Transportation and Distribution</v>
      </c>
      <c r="G227" s="241" t="s">
        <v>307</v>
      </c>
      <c r="H227" s="408" t="s">
        <v>350</v>
      </c>
      <c r="I227" s="408"/>
      <c r="J227" s="408" t="s">
        <v>308</v>
      </c>
      <c r="K227" s="408" t="s">
        <v>207</v>
      </c>
      <c r="L227" s="408" t="s">
        <v>324</v>
      </c>
      <c r="M227" s="408" t="str">
        <f t="shared" si="22"/>
        <v>GasolineResidential</v>
      </c>
      <c r="N227" s="407">
        <v>73</v>
      </c>
      <c r="O227" s="410">
        <v>5.0880000000000002E-2</v>
      </c>
      <c r="P227" s="406">
        <v>1.16E-3</v>
      </c>
      <c r="Q227" s="237">
        <f>O227*_xlfn.XLOOKUP('Emission Factors'!O$16,GWPs!$B:$B,GWPs!$E:$E)</f>
        <v>1.272</v>
      </c>
      <c r="R227" s="242">
        <f>P227*_xlfn.XLOOKUP('Emission Factors'!P$16,GWPs!$B:$B,GWPs!$E:$E)</f>
        <v>0.34567999999999999</v>
      </c>
      <c r="S227" s="243">
        <f>N227+(_xlfn.XLOOKUP($O$16,GWPs!$B:$B,GWPs!$E:$E)*O227)+(_xlfn.XLOOKUP($P$16,GWPs!$B:$B,GWPs!$E:$E)*P227)</f>
        <v>74.617680000000007</v>
      </c>
      <c r="T227" s="385">
        <f>N227+(_xlfn.XLOOKUP($O$16,GWPs!$B:$B,GWPs!$F:$F)*O227)+(_xlfn.XLOOKUP($P$16,GWPs!$B:$B,GWPs!$F:$F)*P227)</f>
        <v>74.732039999999998</v>
      </c>
      <c r="U227" s="241" t="s">
        <v>309</v>
      </c>
      <c r="V227" s="241"/>
      <c r="W227" s="218" t="s">
        <v>1269</v>
      </c>
      <c r="X227" s="73" t="s">
        <v>246</v>
      </c>
      <c r="Y227" s="67"/>
      <c r="Z227" s="67"/>
      <c r="AA227" s="67"/>
      <c r="AB227" s="67"/>
      <c r="AC227" s="67"/>
    </row>
    <row r="228" spans="2:29" ht="14.85" customHeight="1">
      <c r="B228" s="166"/>
      <c r="C228" s="173"/>
      <c r="D228" s="212">
        <v>3</v>
      </c>
      <c r="E228" s="212" t="s">
        <v>411</v>
      </c>
      <c r="F228" s="212" t="str">
        <f t="shared" si="21"/>
        <v>3 - Upstream/Downstream Transportation and Distribution</v>
      </c>
      <c r="G228" s="241" t="s">
        <v>307</v>
      </c>
      <c r="H228" s="408" t="s">
        <v>351</v>
      </c>
      <c r="I228" s="408"/>
      <c r="J228" s="408" t="s">
        <v>308</v>
      </c>
      <c r="K228" s="408" t="s">
        <v>345</v>
      </c>
      <c r="L228" s="409" t="s">
        <v>323</v>
      </c>
      <c r="M228" s="408" t="str">
        <f t="shared" si="22"/>
        <v>Bio ethanolCommercial/Institutional</v>
      </c>
      <c r="N228" s="407">
        <v>0</v>
      </c>
      <c r="O228" s="410">
        <v>3.6580000000000001E-2</v>
      </c>
      <c r="P228" s="410">
        <v>1.2899999999999999E-3</v>
      </c>
      <c r="Q228" s="237">
        <f>O228*_xlfn.XLOOKUP('Emission Factors'!O$16,GWPs!$B:$B,GWPs!$E:$E)</f>
        <v>0.91450000000000009</v>
      </c>
      <c r="R228" s="242">
        <f>P228*_xlfn.XLOOKUP('Emission Factors'!P$16,GWPs!$B:$B,GWPs!$E:$E)</f>
        <v>0.38441999999999998</v>
      </c>
      <c r="S228" s="243">
        <f>N228+(_xlfn.XLOOKUP($O$16,GWPs!$B:$B,GWPs!$E:$E)*O228)+(_xlfn.XLOOKUP($P$16,GWPs!$B:$B,GWPs!$E:$E)*P228)</f>
        <v>1.2989200000000001</v>
      </c>
      <c r="T228" s="385">
        <f>N228+(_xlfn.XLOOKUP($O$16,GWPs!$B:$B,GWPs!$F:$F)*O228)+(_xlfn.XLOOKUP($P$16,GWPs!$B:$B,GWPs!$F:$F)*P228)</f>
        <v>1.36609</v>
      </c>
      <c r="U228" s="241" t="s">
        <v>309</v>
      </c>
      <c r="V228" s="241"/>
      <c r="W228" s="218" t="s">
        <v>1269</v>
      </c>
      <c r="X228" s="73" t="s">
        <v>246</v>
      </c>
      <c r="Y228" s="67"/>
      <c r="Z228" s="67"/>
      <c r="AA228" s="67"/>
      <c r="AB228" s="67"/>
      <c r="AC228" s="67"/>
    </row>
    <row r="229" spans="2:29" ht="14.85" customHeight="1">
      <c r="B229" s="166"/>
      <c r="C229" s="173"/>
      <c r="D229" s="212">
        <v>3</v>
      </c>
      <c r="E229" s="212" t="s">
        <v>411</v>
      </c>
      <c r="F229" s="212" t="str">
        <f t="shared" si="21"/>
        <v>3 - Upstream/Downstream Transportation and Distribution</v>
      </c>
      <c r="G229" s="241" t="s">
        <v>307</v>
      </c>
      <c r="H229" s="408" t="s">
        <v>351</v>
      </c>
      <c r="I229" s="408"/>
      <c r="J229" s="408" t="s">
        <v>308</v>
      </c>
      <c r="K229" s="408" t="s">
        <v>203</v>
      </c>
      <c r="L229" s="409" t="s">
        <v>323</v>
      </c>
      <c r="M229" s="408" t="str">
        <f t="shared" si="22"/>
        <v>DieselCommercial/Institutional</v>
      </c>
      <c r="N229" s="407">
        <v>74.099999999999994</v>
      </c>
      <c r="O229" s="410">
        <v>7.9000000000000001E-4</v>
      </c>
      <c r="P229" s="410">
        <v>3.5000000000000001E-3</v>
      </c>
      <c r="Q229" s="237">
        <f>O229*_xlfn.XLOOKUP('Emission Factors'!O$16,GWPs!$B:$B,GWPs!$E:$E)</f>
        <v>1.975E-2</v>
      </c>
      <c r="R229" s="242">
        <f>P229*_xlfn.XLOOKUP('Emission Factors'!P$16,GWPs!$B:$B,GWPs!$E:$E)</f>
        <v>1.0429999999999999</v>
      </c>
      <c r="S229" s="243">
        <f>N229+(_xlfn.XLOOKUP($O$16,GWPs!$B:$B,GWPs!$E:$E)*O229)+(_xlfn.XLOOKUP($P$16,GWPs!$B:$B,GWPs!$E:$E)*P229)</f>
        <v>75.162750000000003</v>
      </c>
      <c r="T229" s="385">
        <f>N229+(_xlfn.XLOOKUP($O$16,GWPs!$B:$B,GWPs!$F:$F)*O229)+(_xlfn.XLOOKUP($P$16,GWPs!$B:$B,GWPs!$F:$F)*P229)</f>
        <v>75.04961999999999</v>
      </c>
      <c r="U229" s="241" t="s">
        <v>309</v>
      </c>
      <c r="V229" s="241"/>
      <c r="W229" s="218" t="s">
        <v>1269</v>
      </c>
      <c r="X229" s="73" t="s">
        <v>246</v>
      </c>
      <c r="Y229" s="67"/>
      <c r="Z229" s="67"/>
      <c r="AA229" s="67"/>
      <c r="AB229" s="67"/>
      <c r="AC229" s="67"/>
    </row>
    <row r="230" spans="2:29" ht="14.85" customHeight="1">
      <c r="B230" s="166"/>
      <c r="C230" s="173"/>
      <c r="D230" s="212">
        <v>3</v>
      </c>
      <c r="E230" s="212" t="s">
        <v>411</v>
      </c>
      <c r="F230" s="212" t="str">
        <f t="shared" si="21"/>
        <v>3 - Upstream/Downstream Transportation and Distribution</v>
      </c>
      <c r="G230" s="241" t="s">
        <v>307</v>
      </c>
      <c r="H230" s="408" t="s">
        <v>351</v>
      </c>
      <c r="I230" s="408"/>
      <c r="J230" s="408" t="s">
        <v>308</v>
      </c>
      <c r="K230" s="408" t="s">
        <v>207</v>
      </c>
      <c r="L230" s="409" t="s">
        <v>323</v>
      </c>
      <c r="M230" s="408" t="str">
        <f t="shared" si="22"/>
        <v>GasolineCommercial/Institutional</v>
      </c>
      <c r="N230" s="407">
        <v>73</v>
      </c>
      <c r="O230" s="410">
        <v>3.6580000000000001E-2</v>
      </c>
      <c r="P230" s="410">
        <v>1.2899999999999999E-3</v>
      </c>
      <c r="Q230" s="237">
        <f>O230*_xlfn.XLOOKUP('Emission Factors'!O$16,GWPs!$B:$B,GWPs!$E:$E)</f>
        <v>0.91450000000000009</v>
      </c>
      <c r="R230" s="242">
        <f>P230*_xlfn.XLOOKUP('Emission Factors'!P$16,GWPs!$B:$B,GWPs!$E:$E)</f>
        <v>0.38441999999999998</v>
      </c>
      <c r="S230" s="243">
        <f>N230+(_xlfn.XLOOKUP($O$16,GWPs!$B:$B,GWPs!$E:$E)*O230)+(_xlfn.XLOOKUP($P$16,GWPs!$B:$B,GWPs!$E:$E)*P230)</f>
        <v>74.29892000000001</v>
      </c>
      <c r="T230" s="385">
        <f>N230+(_xlfn.XLOOKUP($O$16,GWPs!$B:$B,GWPs!$F:$F)*O230)+(_xlfn.XLOOKUP($P$16,GWPs!$B:$B,GWPs!$F:$F)*P230)</f>
        <v>74.36609</v>
      </c>
      <c r="U230" s="241" t="s">
        <v>309</v>
      </c>
      <c r="V230" s="241"/>
      <c r="W230" s="218" t="s">
        <v>1269</v>
      </c>
      <c r="X230" s="73" t="s">
        <v>246</v>
      </c>
      <c r="Y230" s="67"/>
      <c r="Z230" s="67"/>
      <c r="AA230" s="67"/>
      <c r="AB230" s="67"/>
      <c r="AC230" s="67"/>
    </row>
    <row r="231" spans="2:29" ht="15" customHeight="1">
      <c r="B231" s="166"/>
      <c r="C231" s="173"/>
      <c r="D231" s="212">
        <v>3</v>
      </c>
      <c r="E231" s="212" t="s">
        <v>411</v>
      </c>
      <c r="F231" s="212" t="str">
        <f t="shared" ref="F231" si="27">D231&amp;" - "&amp;E231</f>
        <v>3 - Upstream/Downstream Transportation and Distribution</v>
      </c>
      <c r="G231" s="241" t="s">
        <v>307</v>
      </c>
      <c r="H231" s="244" t="s">
        <v>352</v>
      </c>
      <c r="I231" s="244"/>
      <c r="J231" s="244" t="s">
        <v>308</v>
      </c>
      <c r="K231" s="244" t="s">
        <v>353</v>
      </c>
      <c r="L231" s="244" t="str">
        <f>H231</f>
        <v>Air traffic, Dom. &lt; 3000 ft.</v>
      </c>
      <c r="M231" s="215" t="str">
        <f>K231&amp;L231</f>
        <v>AvGasAir traffic, Dom. &lt; 3000 ft.</v>
      </c>
      <c r="N231" s="403">
        <v>73</v>
      </c>
      <c r="O231" s="404">
        <v>8.6199999999999992E-3</v>
      </c>
      <c r="P231" s="404">
        <v>2E-3</v>
      </c>
      <c r="Q231" s="238">
        <f>O231*_xlfn.XLOOKUP('Emission Factors'!O$16,GWPs!$B:$B,GWPs!$E:$E)</f>
        <v>0.21549999999999997</v>
      </c>
      <c r="R231" s="245">
        <f>P231*_xlfn.XLOOKUP('Emission Factors'!P$16,GWPs!$B:$B,GWPs!$E:$E)</f>
        <v>0.59599999999999997</v>
      </c>
      <c r="S231" s="246">
        <f>N231+(_xlfn.XLOOKUP($O$16,GWPs!$B:$B,GWPs!$E:$E)*O231)+(_xlfn.XLOOKUP($P$16,GWPs!$B:$B,GWPs!$E:$E)*P231)</f>
        <v>73.811500000000009</v>
      </c>
      <c r="T231" s="385">
        <f>N231+(_xlfn.XLOOKUP($O$16,GWPs!$B:$B,GWPs!$F:$F)*O231)+(_xlfn.XLOOKUP($P$16,GWPs!$B:$B,GWPs!$F:$F)*P231)</f>
        <v>73.771360000000001</v>
      </c>
      <c r="U231" s="241" t="s">
        <v>309</v>
      </c>
      <c r="V231" s="414" t="s">
        <v>1313</v>
      </c>
      <c r="W231" s="218" t="s">
        <v>1269</v>
      </c>
      <c r="X231" s="73" t="s">
        <v>246</v>
      </c>
      <c r="Y231" s="67"/>
      <c r="Z231" s="67"/>
      <c r="AA231" s="67"/>
      <c r="AB231" s="67"/>
      <c r="AC231" s="67"/>
    </row>
    <row r="232" spans="2:29" ht="14.85" customHeight="1">
      <c r="B232" s="166"/>
      <c r="C232" s="173"/>
      <c r="D232" s="212">
        <v>3</v>
      </c>
      <c r="E232" s="212" t="s">
        <v>411</v>
      </c>
      <c r="F232" s="212" t="str">
        <f t="shared" si="21"/>
        <v>3 - Upstream/Downstream Transportation and Distribution</v>
      </c>
      <c r="G232" s="241" t="s">
        <v>307</v>
      </c>
      <c r="H232" s="244" t="s">
        <v>352</v>
      </c>
      <c r="I232" s="244"/>
      <c r="J232" s="244" t="s">
        <v>308</v>
      </c>
      <c r="K232" s="244" t="s">
        <v>354</v>
      </c>
      <c r="L232" s="247" t="str">
        <f>H232</f>
        <v>Air traffic, Dom. &lt; 3000 ft.</v>
      </c>
      <c r="M232" s="241" t="str">
        <f t="shared" si="22"/>
        <v>Jet FuelAir traffic, Dom. &lt; 3000 ft.</v>
      </c>
      <c r="N232" s="403">
        <v>72</v>
      </c>
      <c r="O232" s="405">
        <v>1.5100000000000001E-3</v>
      </c>
      <c r="P232" s="405">
        <v>8.7899999999999992E-3</v>
      </c>
      <c r="Q232" s="237">
        <f>O232*_xlfn.XLOOKUP('Emission Factors'!O$16,GWPs!$B:$B,GWPs!$E:$E)</f>
        <v>3.7749999999999999E-2</v>
      </c>
      <c r="R232" s="242">
        <f>P232*_xlfn.XLOOKUP('Emission Factors'!P$16,GWPs!$B:$B,GWPs!$E:$E)</f>
        <v>2.6194199999999999</v>
      </c>
      <c r="S232" s="243">
        <f>N232+(_xlfn.XLOOKUP($O$16,GWPs!$B:$B,GWPs!$E:$E)*O232)+(_xlfn.XLOOKUP($P$16,GWPs!$B:$B,GWPs!$E:$E)*P232)</f>
        <v>74.657170000000008</v>
      </c>
      <c r="T232" s="385">
        <f>N232+(_xlfn.XLOOKUP($O$16,GWPs!$B:$B,GWPs!$F:$F)*O232)+(_xlfn.XLOOKUP($P$16,GWPs!$B:$B,GWPs!$F:$F)*P232)</f>
        <v>74.37163000000001</v>
      </c>
      <c r="U232" s="241" t="s">
        <v>309</v>
      </c>
      <c r="V232" s="414" t="s">
        <v>1313</v>
      </c>
      <c r="W232" s="218" t="s">
        <v>1269</v>
      </c>
      <c r="X232" s="73" t="s">
        <v>246</v>
      </c>
      <c r="Y232" s="67"/>
      <c r="Z232" s="67"/>
      <c r="AA232" s="67"/>
      <c r="AB232" s="67"/>
      <c r="AC232" s="67"/>
    </row>
    <row r="233" spans="2:29" ht="14.85" customHeight="1">
      <c r="B233" s="166"/>
      <c r="C233" s="173"/>
      <c r="D233" s="212">
        <v>3</v>
      </c>
      <c r="E233" s="212" t="s">
        <v>411</v>
      </c>
      <c r="F233" s="212" t="str">
        <f t="shared" si="21"/>
        <v>3 - Upstream/Downstream Transportation and Distribution</v>
      </c>
      <c r="G233" s="241" t="s">
        <v>307</v>
      </c>
      <c r="H233" s="244" t="s">
        <v>355</v>
      </c>
      <c r="I233" s="244"/>
      <c r="J233" s="244" t="s">
        <v>308</v>
      </c>
      <c r="K233" s="244" t="s">
        <v>354</v>
      </c>
      <c r="L233" s="247" t="str">
        <f t="shared" ref="L233:L235" si="28">H233</f>
        <v>Air traffic, Int. &lt; 3000 ft.</v>
      </c>
      <c r="M233" s="241" t="str">
        <f t="shared" si="22"/>
        <v>Jet FuelAir traffic, Int. &lt; 3000 ft.</v>
      </c>
      <c r="N233" s="403">
        <v>72</v>
      </c>
      <c r="O233" s="405">
        <v>1.91E-3</v>
      </c>
      <c r="P233" s="405">
        <v>4.3600000000000002E-3</v>
      </c>
      <c r="Q233" s="237">
        <f>O233*_xlfn.XLOOKUP('Emission Factors'!O$16,GWPs!$B:$B,GWPs!$E:$E)</f>
        <v>4.7750000000000001E-2</v>
      </c>
      <c r="R233" s="242">
        <f>P233*_xlfn.XLOOKUP('Emission Factors'!P$16,GWPs!$B:$B,GWPs!$E:$E)</f>
        <v>1.29928</v>
      </c>
      <c r="S233" s="243">
        <f>N233+(_xlfn.XLOOKUP($O$16,GWPs!$B:$B,GWPs!$E:$E)*O233)+(_xlfn.XLOOKUP($P$16,GWPs!$B:$B,GWPs!$E:$E)*P233)</f>
        <v>73.34702999999999</v>
      </c>
      <c r="T233" s="385">
        <f>N233+(_xlfn.XLOOKUP($O$16,GWPs!$B:$B,GWPs!$F:$F)*O233)+(_xlfn.XLOOKUP($P$16,GWPs!$B:$B,GWPs!$F:$F)*P233)</f>
        <v>73.208879999999994</v>
      </c>
      <c r="U233" s="241" t="s">
        <v>309</v>
      </c>
      <c r="V233" s="414" t="s">
        <v>1313</v>
      </c>
      <c r="W233" s="218" t="s">
        <v>1269</v>
      </c>
      <c r="X233" s="73" t="s">
        <v>246</v>
      </c>
      <c r="Y233" s="67"/>
      <c r="Z233" s="67"/>
      <c r="AA233" s="67"/>
      <c r="AB233" s="67"/>
      <c r="AC233" s="67"/>
    </row>
    <row r="234" spans="2:29" ht="14.85" customHeight="1">
      <c r="B234" s="166"/>
      <c r="C234" s="173"/>
      <c r="D234" s="212">
        <v>3</v>
      </c>
      <c r="E234" s="212" t="s">
        <v>411</v>
      </c>
      <c r="F234" s="212" t="str">
        <f t="shared" si="21"/>
        <v>3 - Upstream/Downstream Transportation and Distribution</v>
      </c>
      <c r="G234" s="241" t="s">
        <v>307</v>
      </c>
      <c r="H234" s="244" t="s">
        <v>356</v>
      </c>
      <c r="I234" s="244"/>
      <c r="J234" s="244" t="s">
        <v>308</v>
      </c>
      <c r="K234" s="244" t="s">
        <v>354</v>
      </c>
      <c r="L234" s="247" t="str">
        <f t="shared" si="28"/>
        <v>Air traffic, Dom. &gt; 3000 ft.</v>
      </c>
      <c r="M234" s="241" t="str">
        <f t="shared" si="22"/>
        <v>Jet FuelAir traffic, Dom. &gt; 3000 ft.</v>
      </c>
      <c r="N234" s="403">
        <v>72</v>
      </c>
      <c r="O234" s="404">
        <v>0</v>
      </c>
      <c r="P234" s="404">
        <v>2.3E-3</v>
      </c>
      <c r="Q234" s="237">
        <f>O234*_xlfn.XLOOKUP('Emission Factors'!O$16,GWPs!$B:$B,GWPs!$E:$E)</f>
        <v>0</v>
      </c>
      <c r="R234" s="242">
        <f>P234*_xlfn.XLOOKUP('Emission Factors'!P$16,GWPs!$B:$B,GWPs!$E:$E)</f>
        <v>0.68540000000000001</v>
      </c>
      <c r="S234" s="243">
        <f>N234+(_xlfn.XLOOKUP($O$16,GWPs!$B:$B,GWPs!$E:$E)*O234)+(_xlfn.XLOOKUP($P$16,GWPs!$B:$B,GWPs!$E:$E)*P234)</f>
        <v>72.685400000000001</v>
      </c>
      <c r="T234" s="385">
        <f>N234+(_xlfn.XLOOKUP($O$16,GWPs!$B:$B,GWPs!$F:$F)*O234)+(_xlfn.XLOOKUP($P$16,GWPs!$B:$B,GWPs!$F:$F)*P234)</f>
        <v>72.609499999999997</v>
      </c>
      <c r="U234" s="241" t="s">
        <v>309</v>
      </c>
      <c r="V234" s="414" t="s">
        <v>1313</v>
      </c>
      <c r="W234" s="218" t="s">
        <v>1269</v>
      </c>
      <c r="X234" s="73" t="s">
        <v>246</v>
      </c>
      <c r="Y234" s="67"/>
      <c r="Z234" s="67"/>
      <c r="AA234" s="67"/>
      <c r="AB234" s="67"/>
      <c r="AC234" s="67"/>
    </row>
    <row r="235" spans="2:29" ht="14.85" customHeight="1">
      <c r="B235" s="166"/>
      <c r="C235" s="173"/>
      <c r="D235" s="212">
        <v>3</v>
      </c>
      <c r="E235" s="212" t="s">
        <v>411</v>
      </c>
      <c r="F235" s="212" t="str">
        <f t="shared" si="21"/>
        <v>3 - Upstream/Downstream Transportation and Distribution</v>
      </c>
      <c r="G235" s="241" t="s">
        <v>307</v>
      </c>
      <c r="H235" s="244" t="s">
        <v>357</v>
      </c>
      <c r="I235" s="244"/>
      <c r="J235" s="244" t="s">
        <v>308</v>
      </c>
      <c r="K235" s="244" t="s">
        <v>354</v>
      </c>
      <c r="L235" s="247" t="str">
        <f t="shared" si="28"/>
        <v>Air traffic, Int. &gt; 3000 ft.</v>
      </c>
      <c r="M235" s="241" t="str">
        <f t="shared" si="22"/>
        <v>Jet FuelAir traffic, Int. &gt; 3000 ft.</v>
      </c>
      <c r="N235" s="403">
        <v>72</v>
      </c>
      <c r="O235" s="404">
        <v>0</v>
      </c>
      <c r="P235" s="404">
        <v>2.3E-3</v>
      </c>
      <c r="Q235" s="237">
        <f>O235*_xlfn.XLOOKUP('Emission Factors'!O$16,GWPs!$B:$B,GWPs!$E:$E)</f>
        <v>0</v>
      </c>
      <c r="R235" s="242">
        <f>P235*_xlfn.XLOOKUP('Emission Factors'!P$16,GWPs!$B:$B,GWPs!$E:$E)</f>
        <v>0.68540000000000001</v>
      </c>
      <c r="S235" s="243">
        <f>N235+(_xlfn.XLOOKUP($O$16,GWPs!$B:$B,GWPs!$E:$E)*O235)+(_xlfn.XLOOKUP($P$16,GWPs!$B:$B,GWPs!$E:$E)*P235)</f>
        <v>72.685400000000001</v>
      </c>
      <c r="T235" s="385">
        <f>N235+(_xlfn.XLOOKUP($O$16,GWPs!$B:$B,GWPs!$F:$F)*O235)+(_xlfn.XLOOKUP($P$16,GWPs!$B:$B,GWPs!$F:$F)*P235)</f>
        <v>72.609499999999997</v>
      </c>
      <c r="U235" s="241" t="s">
        <v>309</v>
      </c>
      <c r="V235" s="414" t="s">
        <v>1313</v>
      </c>
      <c r="W235" s="218" t="s">
        <v>1269</v>
      </c>
      <c r="X235" s="73" t="s">
        <v>246</v>
      </c>
      <c r="Y235" s="67"/>
      <c r="Z235" s="67"/>
      <c r="AA235" s="67"/>
      <c r="AB235" s="67"/>
      <c r="AC235" s="67"/>
    </row>
    <row r="236" spans="2:29" ht="14.85" customHeight="1">
      <c r="B236" s="166"/>
      <c r="C236" s="173"/>
      <c r="D236" s="212">
        <v>3</v>
      </c>
      <c r="E236" s="212" t="s">
        <v>411</v>
      </c>
      <c r="F236" s="212" t="str">
        <f>D236&amp;" - "&amp;E236</f>
        <v>3 - Upstream/Downstream Transportation and Distribution</v>
      </c>
      <c r="G236" s="241" t="s">
        <v>307</v>
      </c>
      <c r="H236" s="241" t="s">
        <v>266</v>
      </c>
      <c r="I236" s="241"/>
      <c r="J236" s="241" t="s">
        <v>308</v>
      </c>
      <c r="K236" s="241" t="s">
        <v>358</v>
      </c>
      <c r="L236" s="241" t="s">
        <v>266</v>
      </c>
      <c r="M236" s="241" t="str">
        <f>K236&amp;L236</f>
        <v>HVOAir Travel</v>
      </c>
      <c r="N236" s="287"/>
      <c r="O236" s="288"/>
      <c r="P236" s="288"/>
      <c r="Q236" s="285"/>
      <c r="R236" s="286"/>
      <c r="S236" s="232">
        <v>1.03677</v>
      </c>
      <c r="T236" s="388">
        <v>1.03677</v>
      </c>
      <c r="U236" s="241" t="s">
        <v>309</v>
      </c>
      <c r="V236" s="415"/>
      <c r="W236" s="218" t="s">
        <v>1098</v>
      </c>
      <c r="X236" s="73" t="s">
        <v>246</v>
      </c>
      <c r="Y236" s="389"/>
      <c r="Z236" s="67"/>
      <c r="AA236" s="67"/>
      <c r="AB236" s="67"/>
      <c r="AC236" s="67"/>
    </row>
    <row r="237" spans="2:29" ht="14.85" customHeight="1">
      <c r="B237" s="166"/>
      <c r="C237" s="173"/>
      <c r="D237" s="212">
        <v>3</v>
      </c>
      <c r="E237" s="212" t="s">
        <v>411</v>
      </c>
      <c r="F237" s="212" t="str">
        <f t="shared" si="21"/>
        <v>3 - Upstream/Downstream Transportation and Distribution</v>
      </c>
      <c r="G237" s="241" t="s">
        <v>307</v>
      </c>
      <c r="H237" s="241" t="s">
        <v>266</v>
      </c>
      <c r="I237" s="241"/>
      <c r="J237" s="241" t="s">
        <v>308</v>
      </c>
      <c r="K237" s="241" t="s">
        <v>358</v>
      </c>
      <c r="L237" s="241" t="s">
        <v>266</v>
      </c>
      <c r="M237" s="241" t="str">
        <f t="shared" si="22"/>
        <v>HVOAir Travel</v>
      </c>
      <c r="N237" s="287"/>
      <c r="O237" s="288"/>
      <c r="P237" s="288"/>
      <c r="Q237" s="285"/>
      <c r="R237" s="286"/>
      <c r="S237" s="232">
        <v>3.5580000000000001E-2</v>
      </c>
      <c r="T237" s="388">
        <v>3.5580000000000001E-2</v>
      </c>
      <c r="U237" s="241" t="s">
        <v>334</v>
      </c>
      <c r="V237" s="241"/>
      <c r="W237" s="218" t="s">
        <v>1098</v>
      </c>
      <c r="X237" s="73" t="s">
        <v>246</v>
      </c>
      <c r="Y237" s="389"/>
      <c r="Z237" s="67"/>
      <c r="AA237" s="67"/>
      <c r="AB237" s="67"/>
      <c r="AC237" s="67"/>
    </row>
    <row r="238" spans="2:29" ht="14.85" customHeight="1">
      <c r="B238" s="166"/>
      <c r="C238" s="173"/>
      <c r="D238" s="212">
        <v>3</v>
      </c>
      <c r="E238" s="212" t="s">
        <v>411</v>
      </c>
      <c r="F238" s="212" t="str">
        <f t="shared" si="21"/>
        <v>3 - Upstream/Downstream Transportation and Distribution</v>
      </c>
      <c r="G238" s="241" t="s">
        <v>307</v>
      </c>
      <c r="H238" s="241" t="s">
        <v>266</v>
      </c>
      <c r="I238" s="241"/>
      <c r="J238" s="241" t="s">
        <v>308</v>
      </c>
      <c r="K238" s="241" t="s">
        <v>358</v>
      </c>
      <c r="L238" s="241" t="s">
        <v>266</v>
      </c>
      <c r="M238" s="241" t="str">
        <f t="shared" si="22"/>
        <v>HVOAir Travel</v>
      </c>
      <c r="N238" s="287"/>
      <c r="O238" s="288"/>
      <c r="P238" s="288"/>
      <c r="Q238" s="285"/>
      <c r="R238" s="286"/>
      <c r="S238" s="232">
        <v>4.5620000000000001E-2</v>
      </c>
      <c r="T238" s="388">
        <v>3.5580000000000001E-2</v>
      </c>
      <c r="U238" s="241" t="s">
        <v>226</v>
      </c>
      <c r="V238" s="241"/>
      <c r="W238" s="218" t="s">
        <v>1098</v>
      </c>
      <c r="X238" s="73" t="s">
        <v>246</v>
      </c>
      <c r="Y238" s="389"/>
      <c r="Z238" s="67"/>
      <c r="AA238" s="67"/>
      <c r="AB238" s="67"/>
      <c r="AC238" s="67"/>
    </row>
    <row r="239" spans="2:29" ht="14.85" customHeight="1">
      <c r="B239" s="166"/>
      <c r="C239" s="173"/>
      <c r="D239" s="212">
        <v>3</v>
      </c>
      <c r="E239" s="212" t="s">
        <v>411</v>
      </c>
      <c r="F239" s="212" t="str">
        <f t="shared" ref="F239" si="29">D239&amp;" - "&amp;E239</f>
        <v>3 - Upstream/Downstream Transportation and Distribution</v>
      </c>
      <c r="G239" s="241" t="s">
        <v>307</v>
      </c>
      <c r="H239" s="241" t="s">
        <v>340</v>
      </c>
      <c r="I239" s="241"/>
      <c r="J239" s="241" t="s">
        <v>308</v>
      </c>
      <c r="K239" s="241" t="s">
        <v>248</v>
      </c>
      <c r="L239" s="241" t="s">
        <v>340</v>
      </c>
      <c r="M239" s="241" t="str">
        <f t="shared" si="22"/>
        <v>Marine Gas OilFishing Ships</v>
      </c>
      <c r="N239" s="283"/>
      <c r="O239" s="283"/>
      <c r="P239" s="283"/>
      <c r="Q239" s="283"/>
      <c r="R239" s="283"/>
      <c r="S239" s="232">
        <v>0.25835000000000002</v>
      </c>
      <c r="T239" s="388">
        <v>0.26</v>
      </c>
      <c r="U239" s="241" t="s">
        <v>204</v>
      </c>
      <c r="V239" s="235" t="s">
        <v>359</v>
      </c>
      <c r="W239" s="218" t="s">
        <v>1099</v>
      </c>
      <c r="X239" s="73" t="s">
        <v>246</v>
      </c>
      <c r="Y239" s="389"/>
      <c r="Z239" s="67"/>
      <c r="AA239" s="67"/>
      <c r="AB239" s="67"/>
      <c r="AC239" s="67"/>
    </row>
    <row r="240" spans="2:29" ht="14.85" customHeight="1">
      <c r="B240" s="166"/>
      <c r="C240" s="173"/>
      <c r="D240" s="212">
        <v>3</v>
      </c>
      <c r="E240" s="212" t="s">
        <v>411</v>
      </c>
      <c r="F240" s="212" t="str">
        <f t="shared" si="21"/>
        <v>3 - Upstream/Downstream Transportation and Distribution</v>
      </c>
      <c r="G240" s="241" t="s">
        <v>307</v>
      </c>
      <c r="H240" s="241" t="s">
        <v>340</v>
      </c>
      <c r="I240" s="241"/>
      <c r="J240" s="241" t="s">
        <v>308</v>
      </c>
      <c r="K240" s="241" t="s">
        <v>248</v>
      </c>
      <c r="L240" s="241" t="s">
        <v>340</v>
      </c>
      <c r="M240" s="241" t="str">
        <f t="shared" si="22"/>
        <v>Marine Gas OilFishing Ships</v>
      </c>
      <c r="N240" s="284"/>
      <c r="O240" s="283"/>
      <c r="P240" s="283"/>
      <c r="Q240" s="285"/>
      <c r="R240" s="286"/>
      <c r="S240" s="232">
        <v>3249.99</v>
      </c>
      <c r="T240" s="388">
        <v>3245.3</v>
      </c>
      <c r="U240" s="241" t="s">
        <v>281</v>
      </c>
      <c r="V240" s="241"/>
      <c r="W240" s="218" t="s">
        <v>1099</v>
      </c>
      <c r="X240" s="73" t="s">
        <v>246</v>
      </c>
      <c r="Y240" s="389"/>
      <c r="Z240" s="67"/>
      <c r="AA240" s="67"/>
      <c r="AB240" s="67"/>
      <c r="AC240" s="67"/>
    </row>
    <row r="241" spans="2:29" ht="14.85" customHeight="1">
      <c r="B241" s="166"/>
      <c r="C241" s="173"/>
      <c r="D241" s="212">
        <v>3</v>
      </c>
      <c r="E241" s="212" t="s">
        <v>411</v>
      </c>
      <c r="F241" s="212" t="str">
        <f t="shared" si="21"/>
        <v>3 - Upstream/Downstream Transportation and Distribution</v>
      </c>
      <c r="G241" s="241" t="s">
        <v>307</v>
      </c>
      <c r="H241" s="241" t="s">
        <v>340</v>
      </c>
      <c r="I241" s="241"/>
      <c r="J241" s="241" t="s">
        <v>308</v>
      </c>
      <c r="K241" s="241" t="s">
        <v>248</v>
      </c>
      <c r="L241" s="241" t="s">
        <v>340</v>
      </c>
      <c r="M241" s="241" t="str">
        <f t="shared" si="22"/>
        <v>Marine Gas OilFishing Ships</v>
      </c>
      <c r="N241" s="284"/>
      <c r="O241" s="283"/>
      <c r="P241" s="283"/>
      <c r="Q241" s="285"/>
      <c r="R241" s="286"/>
      <c r="S241" s="232">
        <v>2.7753899999999998</v>
      </c>
      <c r="T241" s="388">
        <v>2.77</v>
      </c>
      <c r="U241" s="241" t="s">
        <v>334</v>
      </c>
      <c r="V241" s="241"/>
      <c r="W241" s="218" t="s">
        <v>1099</v>
      </c>
      <c r="X241" s="73" t="s">
        <v>246</v>
      </c>
      <c r="Y241" s="389"/>
      <c r="Z241" s="67"/>
      <c r="AA241" s="67"/>
      <c r="AB241" s="67"/>
      <c r="AC241" s="67"/>
    </row>
    <row r="242" spans="2:29" ht="14.85" customHeight="1">
      <c r="B242" s="166"/>
      <c r="C242" s="173"/>
      <c r="D242" s="212">
        <v>3</v>
      </c>
      <c r="E242" s="212" t="s">
        <v>411</v>
      </c>
      <c r="F242" s="212" t="str">
        <f t="shared" si="21"/>
        <v>3 - Upstream/Downstream Transportation and Distribution</v>
      </c>
      <c r="G242" s="241" t="s">
        <v>307</v>
      </c>
      <c r="H242" s="241" t="s">
        <v>340</v>
      </c>
      <c r="I242" s="241"/>
      <c r="J242" s="241" t="s">
        <v>308</v>
      </c>
      <c r="K242" s="241" t="s">
        <v>248</v>
      </c>
      <c r="L242" s="241" t="s">
        <v>340</v>
      </c>
      <c r="M242" s="241" t="str">
        <f t="shared" si="22"/>
        <v>Marine Gas OilFishing Ships</v>
      </c>
      <c r="N242" s="284"/>
      <c r="O242" s="283"/>
      <c r="P242" s="283"/>
      <c r="Q242" s="285"/>
      <c r="R242" s="286"/>
      <c r="S242" s="232">
        <v>0.25835000000000002</v>
      </c>
      <c r="T242" s="388">
        <v>0.26</v>
      </c>
      <c r="U242" s="241" t="s">
        <v>335</v>
      </c>
      <c r="V242" s="241"/>
      <c r="W242" s="218" t="s">
        <v>1099</v>
      </c>
      <c r="X242" s="73" t="s">
        <v>246</v>
      </c>
      <c r="Y242" s="389"/>
      <c r="Z242" s="67"/>
      <c r="AA242" s="67"/>
      <c r="AB242" s="67"/>
      <c r="AC242" s="67"/>
    </row>
    <row r="243" spans="2:29" ht="14.85" customHeight="1">
      <c r="B243" s="166"/>
      <c r="C243" s="173"/>
      <c r="D243" s="212">
        <v>3</v>
      </c>
      <c r="E243" s="212" t="s">
        <v>411</v>
      </c>
      <c r="F243" s="212" t="str">
        <f t="shared" ref="F243" si="30">D243&amp;" - "&amp;E243</f>
        <v>3 - Upstream/Downstream Transportation and Distribution</v>
      </c>
      <c r="G243" s="241" t="s">
        <v>307</v>
      </c>
      <c r="H243" s="241" t="s">
        <v>257</v>
      </c>
      <c r="I243" s="241"/>
      <c r="J243" s="241" t="s">
        <v>308</v>
      </c>
      <c r="K243" s="241" t="s">
        <v>248</v>
      </c>
      <c r="L243" s="241" t="s">
        <v>247</v>
      </c>
      <c r="M243" s="241" t="str">
        <f t="shared" si="22"/>
        <v>Marine Gas OilSea Navigation</v>
      </c>
      <c r="N243" s="283"/>
      <c r="O243" s="283"/>
      <c r="P243" s="283"/>
      <c r="Q243" s="283"/>
      <c r="R243" s="283"/>
      <c r="S243" s="232">
        <v>0.25835000000000002</v>
      </c>
      <c r="T243" s="388">
        <v>0.26</v>
      </c>
      <c r="U243" s="241" t="s">
        <v>204</v>
      </c>
      <c r="V243" s="235" t="s">
        <v>359</v>
      </c>
      <c r="W243" s="218" t="s">
        <v>1099</v>
      </c>
      <c r="X243" s="73" t="s">
        <v>246</v>
      </c>
      <c r="Y243" s="389"/>
      <c r="Z243" s="67"/>
      <c r="AA243" s="67"/>
      <c r="AB243" s="67"/>
      <c r="AC243" s="67"/>
    </row>
    <row r="244" spans="2:29" ht="14.85" customHeight="1">
      <c r="B244" s="166"/>
      <c r="C244" s="173"/>
      <c r="D244" s="212">
        <v>3</v>
      </c>
      <c r="E244" s="212" t="s">
        <v>411</v>
      </c>
      <c r="F244" s="212" t="str">
        <f t="shared" si="21"/>
        <v>3 - Upstream/Downstream Transportation and Distribution</v>
      </c>
      <c r="G244" s="241" t="s">
        <v>307</v>
      </c>
      <c r="H244" s="241" t="s">
        <v>257</v>
      </c>
      <c r="I244" s="241"/>
      <c r="J244" s="241" t="s">
        <v>308</v>
      </c>
      <c r="K244" s="241" t="s">
        <v>248</v>
      </c>
      <c r="L244" s="241" t="s">
        <v>247</v>
      </c>
      <c r="M244" s="241" t="str">
        <f t="shared" si="22"/>
        <v>Marine Gas OilSea Navigation</v>
      </c>
      <c r="N244" s="284"/>
      <c r="O244" s="283"/>
      <c r="P244" s="283"/>
      <c r="Q244" s="285"/>
      <c r="R244" s="286"/>
      <c r="S244" s="232">
        <v>3249.99</v>
      </c>
      <c r="T244" s="388">
        <v>3245.3</v>
      </c>
      <c r="U244" s="241" t="s">
        <v>281</v>
      </c>
      <c r="V244" s="241"/>
      <c r="W244" s="218" t="s">
        <v>1099</v>
      </c>
      <c r="X244" s="73" t="s">
        <v>246</v>
      </c>
      <c r="Y244" s="389"/>
      <c r="Z244" s="67"/>
      <c r="AA244" s="67"/>
      <c r="AB244" s="67"/>
      <c r="AC244" s="67"/>
    </row>
    <row r="245" spans="2:29" ht="14.85" customHeight="1">
      <c r="B245" s="166"/>
      <c r="C245" s="173"/>
      <c r="D245" s="212">
        <v>3</v>
      </c>
      <c r="E245" s="212" t="s">
        <v>411</v>
      </c>
      <c r="F245" s="212" t="str">
        <f t="shared" si="21"/>
        <v>3 - Upstream/Downstream Transportation and Distribution</v>
      </c>
      <c r="G245" s="241" t="s">
        <v>307</v>
      </c>
      <c r="H245" s="241" t="s">
        <v>257</v>
      </c>
      <c r="I245" s="241"/>
      <c r="J245" s="241" t="s">
        <v>308</v>
      </c>
      <c r="K245" s="241" t="s">
        <v>248</v>
      </c>
      <c r="L245" s="241" t="s">
        <v>247</v>
      </c>
      <c r="M245" s="241" t="str">
        <f t="shared" si="22"/>
        <v>Marine Gas OilSea Navigation</v>
      </c>
      <c r="N245" s="284"/>
      <c r="O245" s="283"/>
      <c r="P245" s="283"/>
      <c r="Q245" s="285"/>
      <c r="R245" s="286"/>
      <c r="S245" s="232">
        <v>2.7753899999999998</v>
      </c>
      <c r="T245" s="388">
        <v>2.77</v>
      </c>
      <c r="U245" s="241" t="s">
        <v>334</v>
      </c>
      <c r="V245" s="241"/>
      <c r="W245" s="218" t="s">
        <v>1099</v>
      </c>
      <c r="X245" s="73" t="s">
        <v>246</v>
      </c>
      <c r="Y245" s="389"/>
      <c r="Z245" s="67"/>
      <c r="AA245" s="67"/>
      <c r="AB245" s="67"/>
      <c r="AC245" s="67"/>
    </row>
    <row r="246" spans="2:29" ht="14.85" customHeight="1">
      <c r="B246" s="166"/>
      <c r="C246" s="173"/>
      <c r="D246" s="212">
        <v>3</v>
      </c>
      <c r="E246" s="212" t="s">
        <v>411</v>
      </c>
      <c r="F246" s="212" t="str">
        <f t="shared" si="21"/>
        <v>3 - Upstream/Downstream Transportation and Distribution</v>
      </c>
      <c r="G246" s="241" t="s">
        <v>307</v>
      </c>
      <c r="H246" s="241" t="s">
        <v>257</v>
      </c>
      <c r="I246" s="241"/>
      <c r="J246" s="241" t="s">
        <v>308</v>
      </c>
      <c r="K246" s="241" t="s">
        <v>248</v>
      </c>
      <c r="L246" s="241" t="s">
        <v>247</v>
      </c>
      <c r="M246" s="241" t="str">
        <f t="shared" si="22"/>
        <v>Marine Gas OilSea Navigation</v>
      </c>
      <c r="N246" s="284"/>
      <c r="O246" s="283"/>
      <c r="P246" s="283"/>
      <c r="Q246" s="285"/>
      <c r="R246" s="286"/>
      <c r="S246" s="232">
        <v>0.25835000000000002</v>
      </c>
      <c r="T246" s="388">
        <v>0.26</v>
      </c>
      <c r="U246" s="241" t="s">
        <v>335</v>
      </c>
      <c r="V246" s="241"/>
      <c r="W246" s="218" t="s">
        <v>1099</v>
      </c>
      <c r="X246" s="73" t="s">
        <v>246</v>
      </c>
      <c r="Y246" s="389"/>
      <c r="Z246" s="67"/>
      <c r="AA246" s="67"/>
      <c r="AB246" s="67"/>
      <c r="AC246" s="67"/>
    </row>
    <row r="247" spans="2:29" ht="14.85" customHeight="1">
      <c r="B247" s="166"/>
      <c r="C247" s="173"/>
      <c r="D247" s="212">
        <v>3</v>
      </c>
      <c r="E247" s="212" t="s">
        <v>411</v>
      </c>
      <c r="F247" s="212" t="str">
        <f t="shared" ref="F247" si="31">D247&amp;" - "&amp;E247</f>
        <v>3 - Upstream/Downstream Transportation and Distribution</v>
      </c>
      <c r="G247" s="241" t="s">
        <v>307</v>
      </c>
      <c r="H247" s="241" t="s">
        <v>257</v>
      </c>
      <c r="I247" s="241"/>
      <c r="J247" s="241" t="s">
        <v>308</v>
      </c>
      <c r="K247" s="244" t="s">
        <v>248</v>
      </c>
      <c r="L247" s="248" t="s">
        <v>342</v>
      </c>
      <c r="M247" s="241" t="str">
        <f t="shared" si="22"/>
        <v>Marine Gas OilSea Navigation - International</v>
      </c>
      <c r="N247" s="283"/>
      <c r="O247" s="283"/>
      <c r="P247" s="283"/>
      <c r="Q247" s="283"/>
      <c r="R247" s="283"/>
      <c r="S247" s="232">
        <v>0.25835000000000002</v>
      </c>
      <c r="T247" s="388">
        <v>0.26</v>
      </c>
      <c r="U247" s="241" t="s">
        <v>204</v>
      </c>
      <c r="V247" s="235" t="s">
        <v>359</v>
      </c>
      <c r="W247" s="218" t="s">
        <v>1099</v>
      </c>
      <c r="X247" s="73" t="s">
        <v>246</v>
      </c>
      <c r="Y247" s="389"/>
      <c r="Z247" s="67"/>
      <c r="AA247" s="67"/>
      <c r="AB247" s="67"/>
      <c r="AC247" s="67"/>
    </row>
    <row r="248" spans="2:29" hidden="1">
      <c r="B248" s="166"/>
      <c r="C248" s="173"/>
      <c r="D248" s="212">
        <v>3</v>
      </c>
      <c r="E248" s="212" t="s">
        <v>411</v>
      </c>
      <c r="F248" s="212" t="str">
        <f t="shared" si="21"/>
        <v>3 - Upstream/Downstream Transportation and Distribution</v>
      </c>
      <c r="G248" s="241" t="s">
        <v>307</v>
      </c>
      <c r="H248" s="241" t="s">
        <v>257</v>
      </c>
      <c r="I248" s="241"/>
      <c r="J248" s="241" t="s">
        <v>308</v>
      </c>
      <c r="K248" s="244" t="s">
        <v>248</v>
      </c>
      <c r="L248" s="248" t="s">
        <v>342</v>
      </c>
      <c r="M248" s="241" t="str">
        <f t="shared" si="22"/>
        <v>Marine Gas OilSea Navigation - International</v>
      </c>
      <c r="N248" s="284"/>
      <c r="O248" s="283"/>
      <c r="P248" s="283"/>
      <c r="Q248" s="285"/>
      <c r="R248" s="286"/>
      <c r="S248" s="232">
        <v>3249.99</v>
      </c>
      <c r="T248" s="388">
        <v>3245.3</v>
      </c>
      <c r="U248" s="241" t="s">
        <v>281</v>
      </c>
      <c r="V248" s="241"/>
      <c r="W248" s="218" t="s">
        <v>1099</v>
      </c>
      <c r="X248" s="73" t="s">
        <v>246</v>
      </c>
      <c r="Y248" s="389"/>
      <c r="Z248" s="67"/>
      <c r="AA248" s="67"/>
      <c r="AB248" s="67"/>
      <c r="AC248" s="67"/>
    </row>
    <row r="249" spans="2:29" ht="14.85" customHeight="1">
      <c r="B249" s="166"/>
      <c r="C249" s="173"/>
      <c r="D249" s="212">
        <v>3</v>
      </c>
      <c r="E249" s="212" t="s">
        <v>411</v>
      </c>
      <c r="F249" s="212" t="str">
        <f t="shared" si="21"/>
        <v>3 - Upstream/Downstream Transportation and Distribution</v>
      </c>
      <c r="G249" s="241" t="s">
        <v>307</v>
      </c>
      <c r="H249" s="241" t="s">
        <v>257</v>
      </c>
      <c r="I249" s="241"/>
      <c r="J249" s="241" t="s">
        <v>308</v>
      </c>
      <c r="K249" s="244" t="s">
        <v>248</v>
      </c>
      <c r="L249" s="248" t="s">
        <v>342</v>
      </c>
      <c r="M249" s="241" t="str">
        <f t="shared" si="22"/>
        <v>Marine Gas OilSea Navigation - International</v>
      </c>
      <c r="N249" s="284"/>
      <c r="O249" s="283"/>
      <c r="P249" s="283"/>
      <c r="Q249" s="285"/>
      <c r="R249" s="286"/>
      <c r="S249" s="232">
        <v>2.7753899999999998</v>
      </c>
      <c r="T249" s="388">
        <v>2.77</v>
      </c>
      <c r="U249" s="241" t="s">
        <v>334</v>
      </c>
      <c r="V249" s="241"/>
      <c r="W249" s="218" t="s">
        <v>1099</v>
      </c>
      <c r="X249" s="73" t="s">
        <v>246</v>
      </c>
      <c r="Y249" s="389"/>
      <c r="Z249" s="67"/>
      <c r="AA249" s="67"/>
      <c r="AB249" s="67"/>
      <c r="AC249" s="67"/>
    </row>
    <row r="250" spans="2:29" ht="14.85" customHeight="1">
      <c r="B250" s="166"/>
      <c r="C250" s="173"/>
      <c r="D250" s="212">
        <v>3</v>
      </c>
      <c r="E250" s="212" t="s">
        <v>411</v>
      </c>
      <c r="F250" s="212" t="str">
        <f t="shared" si="21"/>
        <v>3 - Upstream/Downstream Transportation and Distribution</v>
      </c>
      <c r="G250" s="241" t="s">
        <v>307</v>
      </c>
      <c r="H250" s="241" t="s">
        <v>257</v>
      </c>
      <c r="I250" s="241"/>
      <c r="J250" s="241" t="s">
        <v>308</v>
      </c>
      <c r="K250" s="244" t="s">
        <v>248</v>
      </c>
      <c r="L250" s="248" t="s">
        <v>342</v>
      </c>
      <c r="M250" s="241" t="str">
        <f t="shared" si="22"/>
        <v>Marine Gas OilSea Navigation - International</v>
      </c>
      <c r="N250" s="284"/>
      <c r="O250" s="283"/>
      <c r="P250" s="283"/>
      <c r="Q250" s="285"/>
      <c r="R250" s="286"/>
      <c r="S250" s="232">
        <v>0.25835000000000002</v>
      </c>
      <c r="T250" s="388">
        <v>0.26</v>
      </c>
      <c r="U250" s="241" t="s">
        <v>335</v>
      </c>
      <c r="V250" s="241"/>
      <c r="W250" s="218" t="s">
        <v>1099</v>
      </c>
      <c r="X250" s="73" t="s">
        <v>246</v>
      </c>
      <c r="Y250" s="389"/>
      <c r="Z250" s="67"/>
      <c r="AA250" s="67"/>
      <c r="AB250" s="67"/>
      <c r="AC250" s="67"/>
    </row>
    <row r="251" spans="2:29" ht="14.85" customHeight="1">
      <c r="B251" s="166"/>
      <c r="C251" s="173"/>
      <c r="D251" s="212">
        <v>3</v>
      </c>
      <c r="E251" s="212" t="s">
        <v>411</v>
      </c>
      <c r="F251" s="212" t="str">
        <f t="shared" ref="F251" si="32">D251&amp;" - "&amp;E251</f>
        <v>3 - Upstream/Downstream Transportation and Distribution</v>
      </c>
      <c r="G251" s="241" t="s">
        <v>307</v>
      </c>
      <c r="H251" s="241" t="s">
        <v>360</v>
      </c>
      <c r="I251" s="241"/>
      <c r="J251" s="241" t="s">
        <v>308</v>
      </c>
      <c r="K251" s="244" t="s">
        <v>203</v>
      </c>
      <c r="L251" s="241" t="s">
        <v>360</v>
      </c>
      <c r="M251" s="241" t="str">
        <f t="shared" si="22"/>
        <v>DieselBus</v>
      </c>
      <c r="N251" s="283"/>
      <c r="O251" s="283"/>
      <c r="P251" s="283"/>
      <c r="Q251" s="283"/>
      <c r="R251" s="283"/>
      <c r="S251" s="232">
        <v>0.25320999999999999</v>
      </c>
      <c r="T251" s="388">
        <v>0.25</v>
      </c>
      <c r="U251" s="241" t="s">
        <v>204</v>
      </c>
      <c r="V251" s="235" t="s">
        <v>359</v>
      </c>
      <c r="W251" s="218" t="s">
        <v>1100</v>
      </c>
      <c r="X251" s="73" t="s">
        <v>246</v>
      </c>
      <c r="Y251" s="389"/>
      <c r="Z251" s="67"/>
      <c r="AA251" s="67"/>
      <c r="AB251" s="67"/>
      <c r="AC251" s="67"/>
    </row>
    <row r="252" spans="2:29" ht="14.85" customHeight="1">
      <c r="B252" s="166"/>
      <c r="C252" s="173"/>
      <c r="D252" s="212">
        <v>3</v>
      </c>
      <c r="E252" s="212" t="s">
        <v>411</v>
      </c>
      <c r="F252" s="212" t="str">
        <f t="shared" si="21"/>
        <v>3 - Upstream/Downstream Transportation and Distribution</v>
      </c>
      <c r="G252" s="241" t="s">
        <v>307</v>
      </c>
      <c r="H252" s="241" t="s">
        <v>360</v>
      </c>
      <c r="I252" s="241"/>
      <c r="J252" s="241" t="s">
        <v>308</v>
      </c>
      <c r="K252" s="244" t="s">
        <v>203</v>
      </c>
      <c r="L252" s="241" t="s">
        <v>360</v>
      </c>
      <c r="M252" s="241" t="str">
        <f t="shared" si="22"/>
        <v>DieselBus</v>
      </c>
      <c r="N252" s="284"/>
      <c r="O252" s="283"/>
      <c r="P252" s="283"/>
      <c r="Q252" s="285"/>
      <c r="R252" s="286"/>
      <c r="S252" s="232">
        <v>3208.76</v>
      </c>
      <c r="T252" s="388">
        <v>3203.91</v>
      </c>
      <c r="U252" s="241" t="s">
        <v>281</v>
      </c>
      <c r="V252" s="241"/>
      <c r="W252" s="218" t="s">
        <v>1100</v>
      </c>
      <c r="X252" s="73" t="s">
        <v>246</v>
      </c>
      <c r="Y252" s="389"/>
      <c r="Z252" s="67"/>
      <c r="AA252" s="67"/>
      <c r="AB252" s="67"/>
      <c r="AC252" s="67"/>
    </row>
    <row r="253" spans="2:29" ht="14.85" customHeight="1">
      <c r="B253" s="166"/>
      <c r="C253" s="173"/>
      <c r="D253" s="212">
        <v>3</v>
      </c>
      <c r="E253" s="212" t="s">
        <v>411</v>
      </c>
      <c r="F253" s="212" t="str">
        <f t="shared" si="21"/>
        <v>3 - Upstream/Downstream Transportation and Distribution</v>
      </c>
      <c r="G253" s="241" t="s">
        <v>307</v>
      </c>
      <c r="H253" s="241" t="s">
        <v>360</v>
      </c>
      <c r="I253" s="241"/>
      <c r="J253" s="241" t="s">
        <v>308</v>
      </c>
      <c r="K253" s="244" t="s">
        <v>203</v>
      </c>
      <c r="L253" s="241" t="s">
        <v>360</v>
      </c>
      <c r="M253" s="241" t="str">
        <f t="shared" si="22"/>
        <v>DieselBus</v>
      </c>
      <c r="N253" s="284"/>
      <c r="O253" s="283"/>
      <c r="P253" s="283"/>
      <c r="Q253" s="285"/>
      <c r="R253" s="286"/>
      <c r="S253" s="232">
        <v>2.6987999999999999</v>
      </c>
      <c r="T253" s="388">
        <v>2.66</v>
      </c>
      <c r="U253" s="241" t="s">
        <v>334</v>
      </c>
      <c r="V253" s="241"/>
      <c r="W253" s="218" t="s">
        <v>1100</v>
      </c>
      <c r="X253" s="73" t="s">
        <v>246</v>
      </c>
      <c r="Y253" s="389"/>
      <c r="Z253" s="67"/>
      <c r="AA253" s="67"/>
      <c r="AB253" s="67"/>
      <c r="AC253" s="67"/>
    </row>
    <row r="254" spans="2:29" ht="14.85" customHeight="1">
      <c r="B254" s="166"/>
      <c r="C254" s="173"/>
      <c r="D254" s="212">
        <v>3</v>
      </c>
      <c r="E254" s="212" t="s">
        <v>411</v>
      </c>
      <c r="F254" s="212" t="str">
        <f t="shared" si="21"/>
        <v>3 - Upstream/Downstream Transportation and Distribution</v>
      </c>
      <c r="G254" s="241" t="s">
        <v>307</v>
      </c>
      <c r="H254" s="241" t="s">
        <v>360</v>
      </c>
      <c r="I254" s="241"/>
      <c r="J254" s="241" t="s">
        <v>308</v>
      </c>
      <c r="K254" s="244" t="s">
        <v>203</v>
      </c>
      <c r="L254" s="241" t="s">
        <v>360</v>
      </c>
      <c r="M254" s="241" t="str">
        <f t="shared" si="22"/>
        <v>DieselBus</v>
      </c>
      <c r="N254" s="284"/>
      <c r="O254" s="283"/>
      <c r="P254" s="283"/>
      <c r="Q254" s="285"/>
      <c r="R254" s="286"/>
      <c r="S254" s="232">
        <v>0.25320999999999999</v>
      </c>
      <c r="T254" s="388">
        <v>0.25</v>
      </c>
      <c r="U254" s="241" t="s">
        <v>335</v>
      </c>
      <c r="V254" s="241"/>
      <c r="W254" s="218" t="s">
        <v>1100</v>
      </c>
      <c r="X254" s="73" t="s">
        <v>246</v>
      </c>
      <c r="Y254" s="389"/>
      <c r="Z254" s="67"/>
      <c r="AA254" s="67"/>
      <c r="AB254" s="67"/>
      <c r="AC254" s="67"/>
    </row>
    <row r="255" spans="2:29" ht="14.85" customHeight="1">
      <c r="B255" s="166"/>
      <c r="C255" s="173"/>
      <c r="D255" s="212">
        <v>3</v>
      </c>
      <c r="E255" s="212" t="s">
        <v>411</v>
      </c>
      <c r="F255" s="212" t="str">
        <f t="shared" si="21"/>
        <v>3 - Upstream/Downstream Transportation and Distribution</v>
      </c>
      <c r="G255" s="241" t="s">
        <v>307</v>
      </c>
      <c r="H255" s="241" t="s">
        <v>412</v>
      </c>
      <c r="I255" s="241"/>
      <c r="J255" s="241" t="s">
        <v>308</v>
      </c>
      <c r="K255" s="244" t="s">
        <v>354</v>
      </c>
      <c r="L255" s="241" t="s">
        <v>266</v>
      </c>
      <c r="M255" s="241" t="str">
        <f t="shared" si="22"/>
        <v>Jet FuelAir Travel</v>
      </c>
      <c r="N255" s="283"/>
      <c r="O255" s="283"/>
      <c r="P255" s="283"/>
      <c r="Q255" s="283"/>
      <c r="R255" s="283"/>
      <c r="S255" s="232">
        <v>0.24782000000000001</v>
      </c>
      <c r="T255" s="388">
        <v>0.25</v>
      </c>
      <c r="U255" s="241" t="s">
        <v>204</v>
      </c>
      <c r="V255" s="235" t="s">
        <v>359</v>
      </c>
      <c r="W255" s="218" t="s">
        <v>1101</v>
      </c>
      <c r="X255" s="73" t="s">
        <v>246</v>
      </c>
      <c r="Y255" s="389"/>
      <c r="Z255" s="67"/>
      <c r="AA255" s="67"/>
      <c r="AB255" s="67"/>
      <c r="AC255" s="67"/>
    </row>
    <row r="256" spans="2:29" ht="14.85" customHeight="1">
      <c r="B256" s="166"/>
      <c r="C256" s="173"/>
      <c r="D256" s="212">
        <v>3</v>
      </c>
      <c r="E256" s="212" t="s">
        <v>411</v>
      </c>
      <c r="F256" s="212" t="str">
        <f t="shared" ref="F256:F334" si="33">D256&amp;" - "&amp;E256</f>
        <v>3 - Upstream/Downstream Transportation and Distribution</v>
      </c>
      <c r="G256" s="241" t="s">
        <v>307</v>
      </c>
      <c r="H256" s="241" t="s">
        <v>412</v>
      </c>
      <c r="I256" s="241"/>
      <c r="J256" s="241" t="s">
        <v>308</v>
      </c>
      <c r="K256" s="244" t="s">
        <v>354</v>
      </c>
      <c r="L256" s="241" t="s">
        <v>266</v>
      </c>
      <c r="M256" s="241" t="str">
        <f t="shared" ref="M256:M317" si="34">K256&amp;L256</f>
        <v>Jet FuelAir Travel</v>
      </c>
      <c r="N256" s="284"/>
      <c r="O256" s="283"/>
      <c r="P256" s="283"/>
      <c r="Q256" s="285"/>
      <c r="R256" s="286"/>
      <c r="S256" s="232">
        <v>3181.43</v>
      </c>
      <c r="T256" s="388">
        <v>3178.37</v>
      </c>
      <c r="U256" s="241" t="s">
        <v>281</v>
      </c>
      <c r="V256" s="241"/>
      <c r="W256" s="218" t="s">
        <v>1101</v>
      </c>
      <c r="X256" s="73" t="s">
        <v>246</v>
      </c>
      <c r="Y256" s="389"/>
      <c r="Z256" s="67"/>
      <c r="AA256" s="67"/>
      <c r="AB256" s="67"/>
      <c r="AC256" s="67"/>
    </row>
    <row r="257" spans="2:29" ht="14.85" customHeight="1">
      <c r="B257" s="166"/>
      <c r="C257" s="173"/>
      <c r="D257" s="212">
        <v>3</v>
      </c>
      <c r="E257" s="212" t="s">
        <v>411</v>
      </c>
      <c r="F257" s="212" t="str">
        <f t="shared" si="33"/>
        <v>3 - Upstream/Downstream Transportation and Distribution</v>
      </c>
      <c r="G257" s="241" t="s">
        <v>307</v>
      </c>
      <c r="H257" s="241" t="s">
        <v>412</v>
      </c>
      <c r="I257" s="241"/>
      <c r="J257" s="241" t="s">
        <v>308</v>
      </c>
      <c r="K257" s="244" t="s">
        <v>354</v>
      </c>
      <c r="L257" s="241" t="s">
        <v>266</v>
      </c>
      <c r="M257" s="241" t="str">
        <f t="shared" si="34"/>
        <v>Jet FuelAir Travel</v>
      </c>
      <c r="N257" s="284"/>
      <c r="O257" s="283"/>
      <c r="P257" s="283"/>
      <c r="Q257" s="285"/>
      <c r="R257" s="286"/>
      <c r="S257" s="232">
        <v>2.54514</v>
      </c>
      <c r="T257" s="388">
        <v>2.54</v>
      </c>
      <c r="U257" s="241" t="s">
        <v>334</v>
      </c>
      <c r="V257" s="241"/>
      <c r="W257" s="218" t="s">
        <v>1101</v>
      </c>
      <c r="X257" s="73" t="s">
        <v>246</v>
      </c>
      <c r="Y257" s="389"/>
      <c r="Z257" s="67"/>
      <c r="AA257" s="67"/>
      <c r="AB257" s="67"/>
      <c r="AC257" s="67"/>
    </row>
    <row r="258" spans="2:29" ht="14.85" customHeight="1">
      <c r="B258" s="166"/>
      <c r="C258" s="173"/>
      <c r="D258" s="212">
        <v>3</v>
      </c>
      <c r="E258" s="212" t="s">
        <v>411</v>
      </c>
      <c r="F258" s="212" t="str">
        <f t="shared" si="33"/>
        <v>3 - Upstream/Downstream Transportation and Distribution</v>
      </c>
      <c r="G258" s="241" t="s">
        <v>307</v>
      </c>
      <c r="H258" s="241" t="s">
        <v>412</v>
      </c>
      <c r="I258" s="241"/>
      <c r="J258" s="241" t="s">
        <v>308</v>
      </c>
      <c r="K258" s="244" t="s">
        <v>354</v>
      </c>
      <c r="L258" s="241" t="s">
        <v>266</v>
      </c>
      <c r="M258" s="241" t="str">
        <f t="shared" si="34"/>
        <v>Jet FuelAir Travel</v>
      </c>
      <c r="N258" s="284"/>
      <c r="O258" s="283"/>
      <c r="P258" s="283"/>
      <c r="Q258" s="283"/>
      <c r="R258" s="283"/>
      <c r="S258" s="232">
        <v>0.24782000000000001</v>
      </c>
      <c r="T258" s="388">
        <v>0.25</v>
      </c>
      <c r="U258" s="241" t="s">
        <v>335</v>
      </c>
      <c r="V258" s="241"/>
      <c r="W258" s="218" t="s">
        <v>1101</v>
      </c>
      <c r="X258" s="73" t="s">
        <v>246</v>
      </c>
      <c r="Y258" s="389"/>
      <c r="Z258" s="67"/>
      <c r="AA258" s="67"/>
      <c r="AB258" s="67"/>
      <c r="AC258" s="67"/>
    </row>
    <row r="259" spans="2:29" ht="14.85" customHeight="1">
      <c r="B259" s="166"/>
      <c r="C259" s="173"/>
      <c r="D259" s="212">
        <v>3</v>
      </c>
      <c r="E259" s="212" t="s">
        <v>411</v>
      </c>
      <c r="F259" s="212" t="str">
        <f t="shared" ref="F259" si="35">D259&amp;" - "&amp;E259</f>
        <v>3 - Upstream/Downstream Transportation and Distribution</v>
      </c>
      <c r="G259" s="241" t="s">
        <v>307</v>
      </c>
      <c r="H259" s="241" t="s">
        <v>412</v>
      </c>
      <c r="I259" s="241"/>
      <c r="J259" s="241" t="s">
        <v>308</v>
      </c>
      <c r="K259" s="244" t="s">
        <v>353</v>
      </c>
      <c r="L259" s="241" t="s">
        <v>266</v>
      </c>
      <c r="M259" s="241" t="str">
        <f t="shared" si="34"/>
        <v>AvGasAir Travel</v>
      </c>
      <c r="N259" s="283"/>
      <c r="O259" s="283"/>
      <c r="P259" s="283"/>
      <c r="Q259" s="283"/>
      <c r="R259" s="283"/>
      <c r="S259" s="232">
        <v>0.24374999999999999</v>
      </c>
      <c r="T259" s="388">
        <v>0.25</v>
      </c>
      <c r="U259" s="241" t="s">
        <v>204</v>
      </c>
      <c r="V259" s="235" t="s">
        <v>359</v>
      </c>
      <c r="W259" s="218" t="s">
        <v>1102</v>
      </c>
      <c r="X259" s="73" t="s">
        <v>246</v>
      </c>
      <c r="Y259" s="389"/>
      <c r="Z259" s="67"/>
      <c r="AA259" s="67"/>
      <c r="AB259" s="67"/>
      <c r="AC259" s="67"/>
    </row>
    <row r="260" spans="2:29" ht="14.85" customHeight="1">
      <c r="B260" s="166"/>
      <c r="C260" s="173"/>
      <c r="D260" s="212">
        <v>3</v>
      </c>
      <c r="E260" s="212" t="s">
        <v>411</v>
      </c>
      <c r="F260" s="212" t="str">
        <f t="shared" si="33"/>
        <v>3 - Upstream/Downstream Transportation and Distribution</v>
      </c>
      <c r="G260" s="241" t="s">
        <v>307</v>
      </c>
      <c r="H260" s="241" t="s">
        <v>412</v>
      </c>
      <c r="I260" s="241"/>
      <c r="J260" s="241" t="s">
        <v>308</v>
      </c>
      <c r="K260" s="244" t="s">
        <v>353</v>
      </c>
      <c r="L260" s="241" t="s">
        <v>266</v>
      </c>
      <c r="M260" s="241" t="str">
        <f t="shared" si="34"/>
        <v>AvGasAir Travel</v>
      </c>
      <c r="N260" s="284"/>
      <c r="O260" s="283"/>
      <c r="P260" s="283"/>
      <c r="Q260" s="285"/>
      <c r="R260" s="286"/>
      <c r="S260" s="232">
        <v>3192.76</v>
      </c>
      <c r="T260" s="388">
        <v>3193.69</v>
      </c>
      <c r="U260" s="241" t="s">
        <v>281</v>
      </c>
      <c r="V260" s="241"/>
      <c r="W260" s="218" t="s">
        <v>1102</v>
      </c>
      <c r="X260" s="73" t="s">
        <v>246</v>
      </c>
      <c r="Y260" s="389"/>
      <c r="Z260" s="67"/>
      <c r="AA260" s="67"/>
      <c r="AB260" s="67"/>
      <c r="AC260" s="67"/>
    </row>
    <row r="261" spans="2:29" ht="14.85" customHeight="1">
      <c r="B261" s="166"/>
      <c r="C261" s="173"/>
      <c r="D261" s="212">
        <v>3</v>
      </c>
      <c r="E261" s="212" t="s">
        <v>411</v>
      </c>
      <c r="F261" s="212" t="str">
        <f t="shared" si="33"/>
        <v>3 - Upstream/Downstream Transportation and Distribution</v>
      </c>
      <c r="G261" s="241" t="s">
        <v>307</v>
      </c>
      <c r="H261" s="241" t="s">
        <v>412</v>
      </c>
      <c r="I261" s="241"/>
      <c r="J261" s="241" t="s">
        <v>308</v>
      </c>
      <c r="K261" s="244" t="s">
        <v>353</v>
      </c>
      <c r="L261" s="241" t="s">
        <v>266</v>
      </c>
      <c r="M261" s="241" t="str">
        <f t="shared" si="34"/>
        <v>AvGasAir Travel</v>
      </c>
      <c r="N261" s="284"/>
      <c r="O261" s="283"/>
      <c r="P261" s="283"/>
      <c r="Q261" s="285"/>
      <c r="R261" s="286"/>
      <c r="S261" s="232">
        <v>2.3304800000000001</v>
      </c>
      <c r="T261" s="388">
        <v>2.33</v>
      </c>
      <c r="U261" s="241" t="s">
        <v>334</v>
      </c>
      <c r="V261" s="241"/>
      <c r="W261" s="218" t="s">
        <v>1102</v>
      </c>
      <c r="X261" s="73" t="s">
        <v>246</v>
      </c>
      <c r="Y261" s="389"/>
      <c r="Z261" s="67"/>
      <c r="AA261" s="67"/>
      <c r="AB261" s="67"/>
      <c r="AC261" s="67"/>
    </row>
    <row r="262" spans="2:29" ht="14.85" customHeight="1">
      <c r="B262" s="166"/>
      <c r="C262" s="173"/>
      <c r="D262" s="212">
        <v>3</v>
      </c>
      <c r="E262" s="212" t="s">
        <v>411</v>
      </c>
      <c r="F262" s="212" t="str">
        <f t="shared" si="33"/>
        <v>3 - Upstream/Downstream Transportation and Distribution</v>
      </c>
      <c r="G262" s="241" t="s">
        <v>307</v>
      </c>
      <c r="H262" s="241" t="s">
        <v>412</v>
      </c>
      <c r="I262" s="241"/>
      <c r="J262" s="241" t="s">
        <v>308</v>
      </c>
      <c r="K262" s="244" t="s">
        <v>353</v>
      </c>
      <c r="L262" s="241" t="s">
        <v>266</v>
      </c>
      <c r="M262" s="241" t="str">
        <f t="shared" si="34"/>
        <v>AvGasAir Travel</v>
      </c>
      <c r="N262" s="284"/>
      <c r="O262" s="283"/>
      <c r="P262" s="283"/>
      <c r="Q262" s="285"/>
      <c r="R262" s="286"/>
      <c r="S262" s="232">
        <v>0.24374999999999999</v>
      </c>
      <c r="T262" s="388">
        <v>0.24</v>
      </c>
      <c r="U262" s="241" t="s">
        <v>335</v>
      </c>
      <c r="V262" s="241"/>
      <c r="W262" s="218" t="s">
        <v>1102</v>
      </c>
      <c r="X262" s="73" t="s">
        <v>246</v>
      </c>
      <c r="Y262" s="389"/>
      <c r="Z262" s="67"/>
      <c r="AA262" s="67"/>
      <c r="AB262" s="67"/>
      <c r="AC262" s="67"/>
    </row>
    <row r="263" spans="2:29" ht="14.85" customHeight="1">
      <c r="B263" s="166"/>
      <c r="C263" s="173"/>
      <c r="D263" s="212">
        <v>3</v>
      </c>
      <c r="E263" s="212" t="s">
        <v>411</v>
      </c>
      <c r="F263" s="212" t="str">
        <f t="shared" si="33"/>
        <v>3 - Upstream/Downstream Transportation and Distribution</v>
      </c>
      <c r="G263" s="241" t="s">
        <v>307</v>
      </c>
      <c r="H263" s="241" t="s">
        <v>412</v>
      </c>
      <c r="I263" s="241"/>
      <c r="J263" s="241" t="s">
        <v>308</v>
      </c>
      <c r="K263" s="244" t="s">
        <v>413</v>
      </c>
      <c r="L263" s="241" t="s">
        <v>266</v>
      </c>
      <c r="M263" s="241" t="str">
        <f t="shared" si="34"/>
        <v>Domestic, to/from UK - with RFAir Travel</v>
      </c>
      <c r="N263" s="284"/>
      <c r="O263" s="283"/>
      <c r="P263" s="283"/>
      <c r="Q263" s="285"/>
      <c r="R263" s="286"/>
      <c r="S263" s="232">
        <v>4.4936300000000005</v>
      </c>
      <c r="T263" s="388">
        <v>4.6733964013422824</v>
      </c>
      <c r="U263" s="241" t="s">
        <v>251</v>
      </c>
      <c r="V263" s="241"/>
      <c r="W263" s="218" t="s">
        <v>1103</v>
      </c>
      <c r="X263" s="73" t="s">
        <v>249</v>
      </c>
      <c r="Y263" s="389"/>
      <c r="Z263" s="67"/>
      <c r="AA263" s="67"/>
      <c r="AB263" s="67"/>
      <c r="AC263" s="67"/>
    </row>
    <row r="264" spans="2:29" ht="14.85" customHeight="1">
      <c r="B264" s="166"/>
      <c r="C264" s="173"/>
      <c r="D264" s="212">
        <v>3</v>
      </c>
      <c r="E264" s="212" t="s">
        <v>411</v>
      </c>
      <c r="F264" s="212" t="str">
        <f t="shared" si="33"/>
        <v>3 - Upstream/Downstream Transportation and Distribution</v>
      </c>
      <c r="G264" s="241" t="s">
        <v>307</v>
      </c>
      <c r="H264" s="241" t="s">
        <v>412</v>
      </c>
      <c r="I264" s="241"/>
      <c r="J264" s="241" t="s">
        <v>308</v>
      </c>
      <c r="K264" s="244" t="s">
        <v>414</v>
      </c>
      <c r="L264" s="241" t="s">
        <v>266</v>
      </c>
      <c r="M264" s="241" t="str">
        <f t="shared" si="34"/>
        <v>Short-haul, to/from UK - with RFAir Travel</v>
      </c>
      <c r="N264" s="284"/>
      <c r="O264" s="283"/>
      <c r="P264" s="283"/>
      <c r="Q264" s="285"/>
      <c r="R264" s="286"/>
      <c r="S264" s="232">
        <v>2.3022900000000002</v>
      </c>
      <c r="T264" s="388">
        <v>1.6681551785234898</v>
      </c>
      <c r="U264" s="241" t="s">
        <v>251</v>
      </c>
      <c r="V264" s="241"/>
      <c r="W264" s="218" t="s">
        <v>1104</v>
      </c>
      <c r="X264" s="73" t="s">
        <v>249</v>
      </c>
      <c r="Y264" s="389"/>
      <c r="Z264" s="67"/>
      <c r="AA264" s="67"/>
      <c r="AB264" s="67"/>
      <c r="AC264" s="67"/>
    </row>
    <row r="265" spans="2:29" ht="14.85" customHeight="1">
      <c r="B265" s="166"/>
      <c r="C265" s="173"/>
      <c r="D265" s="212">
        <v>3</v>
      </c>
      <c r="E265" s="212" t="s">
        <v>411</v>
      </c>
      <c r="F265" s="212" t="str">
        <f t="shared" si="33"/>
        <v>3 - Upstream/Downstream Transportation and Distribution</v>
      </c>
      <c r="G265" s="241" t="s">
        <v>307</v>
      </c>
      <c r="H265" s="241" t="s">
        <v>412</v>
      </c>
      <c r="I265" s="241"/>
      <c r="J265" s="241" t="s">
        <v>308</v>
      </c>
      <c r="K265" s="241" t="s">
        <v>415</v>
      </c>
      <c r="L265" s="241" t="s">
        <v>266</v>
      </c>
      <c r="M265" s="241" t="str">
        <f t="shared" si="34"/>
        <v>Long-haul, to/from UK - with RFAir Travel</v>
      </c>
      <c r="N265" s="284"/>
      <c r="O265" s="283"/>
      <c r="P265" s="283"/>
      <c r="Q265" s="285"/>
      <c r="R265" s="286"/>
      <c r="S265" s="232">
        <v>1.0189000000000001</v>
      </c>
      <c r="T265" s="388">
        <v>1.0990316040268457</v>
      </c>
      <c r="U265" s="241" t="s">
        <v>251</v>
      </c>
      <c r="V265" s="241"/>
      <c r="W265" s="218" t="s">
        <v>1105</v>
      </c>
      <c r="X265" s="73" t="s">
        <v>249</v>
      </c>
      <c r="Y265" s="389"/>
      <c r="Z265" s="67"/>
      <c r="AA265" s="67"/>
      <c r="AB265" s="67"/>
      <c r="AC265" s="67"/>
    </row>
    <row r="266" spans="2:29" ht="12" customHeight="1">
      <c r="B266" s="166"/>
      <c r="C266" s="173"/>
      <c r="D266" s="212">
        <v>3</v>
      </c>
      <c r="E266" s="212" t="s">
        <v>411</v>
      </c>
      <c r="F266" s="212" t="str">
        <f t="shared" si="33"/>
        <v>3 - Upstream/Downstream Transportation and Distribution</v>
      </c>
      <c r="G266" s="241" t="s">
        <v>307</v>
      </c>
      <c r="H266" s="241" t="s">
        <v>412</v>
      </c>
      <c r="I266" s="241"/>
      <c r="J266" s="241" t="s">
        <v>308</v>
      </c>
      <c r="K266" s="241" t="s">
        <v>416</v>
      </c>
      <c r="L266" s="241" t="s">
        <v>266</v>
      </c>
      <c r="M266" s="241" t="str">
        <f t="shared" si="34"/>
        <v>International, to/from non-UK - with RFAir Travel</v>
      </c>
      <c r="N266" s="284"/>
      <c r="O266" s="283"/>
      <c r="P266" s="283"/>
      <c r="Q266" s="285"/>
      <c r="R266" s="286"/>
      <c r="S266" s="232">
        <v>1.0189000000000001</v>
      </c>
      <c r="T266" s="388">
        <v>1.0990316040268457</v>
      </c>
      <c r="U266" s="241" t="s">
        <v>251</v>
      </c>
      <c r="V266" s="241"/>
      <c r="W266" s="218" t="s">
        <v>1106</v>
      </c>
      <c r="X266" s="73" t="s">
        <v>249</v>
      </c>
      <c r="Y266" s="389"/>
      <c r="Z266" s="67"/>
      <c r="AA266" s="67"/>
      <c r="AB266" s="67"/>
      <c r="AC266" s="67"/>
    </row>
    <row r="267" spans="2:29" ht="14.85" customHeight="1">
      <c r="B267" s="166"/>
      <c r="C267" s="173"/>
      <c r="D267" s="212">
        <v>3</v>
      </c>
      <c r="E267" s="212" t="s">
        <v>411</v>
      </c>
      <c r="F267" s="212" t="str">
        <f t="shared" ref="F267:F315" si="36">D267&amp;" - "&amp;E267</f>
        <v>3 - Upstream/Downstream Transportation and Distribution</v>
      </c>
      <c r="G267" s="241" t="s">
        <v>307</v>
      </c>
      <c r="H267" s="241" t="s">
        <v>417</v>
      </c>
      <c r="I267" s="241"/>
      <c r="J267" s="241" t="s">
        <v>308</v>
      </c>
      <c r="K267" s="241" t="s">
        <v>418</v>
      </c>
      <c r="L267" s="248" t="s">
        <v>206</v>
      </c>
      <c r="M267" s="241" t="str">
        <f t="shared" si="34"/>
        <v>Diesel - Rigid (&gt;3.5 - 7.5 tonnes) - Average LadenHeavy duty vehicles</v>
      </c>
      <c r="N267" s="284"/>
      <c r="O267" s="283"/>
      <c r="P267" s="283"/>
      <c r="Q267" s="285"/>
      <c r="R267" s="286"/>
      <c r="S267" s="232">
        <v>0.56213999999999997</v>
      </c>
      <c r="T267" s="388">
        <v>0.53089398791946307</v>
      </c>
      <c r="U267" s="241" t="s">
        <v>251</v>
      </c>
      <c r="V267" s="241"/>
      <c r="W267" s="218" t="s">
        <v>1107</v>
      </c>
      <c r="X267" s="73" t="s">
        <v>249</v>
      </c>
      <c r="Y267" s="389"/>
      <c r="Z267" s="67"/>
      <c r="AA267" s="67"/>
      <c r="AB267" s="67"/>
      <c r="AC267" s="67"/>
    </row>
    <row r="268" spans="2:29" ht="14.85" customHeight="1">
      <c r="B268" s="166"/>
      <c r="C268" s="173"/>
      <c r="D268" s="212">
        <v>3</v>
      </c>
      <c r="E268" s="212" t="s">
        <v>411</v>
      </c>
      <c r="F268" s="212" t="str">
        <f t="shared" si="36"/>
        <v>3 - Upstream/Downstream Transportation and Distribution</v>
      </c>
      <c r="G268" s="241" t="s">
        <v>307</v>
      </c>
      <c r="H268" s="241" t="s">
        <v>417</v>
      </c>
      <c r="I268" s="241"/>
      <c r="J268" s="241" t="s">
        <v>308</v>
      </c>
      <c r="K268" s="241" t="s">
        <v>418</v>
      </c>
      <c r="L268" s="248" t="s">
        <v>206</v>
      </c>
      <c r="M268" s="241" t="str">
        <f t="shared" si="34"/>
        <v>Diesel - Rigid (&gt;3.5 - 7.5 tonnes) - Average LadenHeavy duty vehicles</v>
      </c>
      <c r="N268" s="284"/>
      <c r="O268" s="283"/>
      <c r="P268" s="283"/>
      <c r="Q268" s="285"/>
      <c r="R268" s="286"/>
      <c r="S268" s="232">
        <v>0.49757999999999997</v>
      </c>
      <c r="T268" s="388">
        <v>0.58477978523489937</v>
      </c>
      <c r="U268" s="241" t="s">
        <v>264</v>
      </c>
      <c r="V268" s="241"/>
      <c r="W268" s="218" t="s">
        <v>1107</v>
      </c>
      <c r="X268" s="73" t="s">
        <v>249</v>
      </c>
      <c r="Y268" s="389"/>
      <c r="Z268" s="67"/>
      <c r="AA268" s="67"/>
      <c r="AB268" s="67"/>
      <c r="AC268" s="67"/>
    </row>
    <row r="269" spans="2:29" ht="14.85" customHeight="1">
      <c r="B269" s="166"/>
      <c r="C269" s="173"/>
      <c r="D269" s="212">
        <v>3</v>
      </c>
      <c r="E269" s="212" t="s">
        <v>411</v>
      </c>
      <c r="F269" s="212" t="str">
        <f t="shared" si="36"/>
        <v>3 - Upstream/Downstream Transportation and Distribution</v>
      </c>
      <c r="G269" s="241" t="s">
        <v>307</v>
      </c>
      <c r="H269" s="241" t="s">
        <v>417</v>
      </c>
      <c r="I269" s="241"/>
      <c r="J269" s="241" t="s">
        <v>308</v>
      </c>
      <c r="K269" s="241" t="s">
        <v>418</v>
      </c>
      <c r="L269" s="248" t="s">
        <v>206</v>
      </c>
      <c r="M269" s="241" t="str">
        <f t="shared" si="34"/>
        <v>Diesel - Rigid (&gt;3.5 - 7.5 tonnes) - Average LadenHeavy duty vehicles</v>
      </c>
      <c r="N269" s="284"/>
      <c r="O269" s="283"/>
      <c r="P269" s="283"/>
      <c r="Q269" s="285"/>
      <c r="R269" s="286"/>
      <c r="S269" s="232">
        <v>0.80078000000000005</v>
      </c>
      <c r="T269" s="388">
        <v>0.94111389798657719</v>
      </c>
      <c r="U269" s="241" t="s">
        <v>419</v>
      </c>
      <c r="V269" s="241"/>
      <c r="W269" s="218" t="s">
        <v>1107</v>
      </c>
      <c r="X269" s="73" t="s">
        <v>249</v>
      </c>
      <c r="Y269" s="389"/>
      <c r="Z269" s="67"/>
      <c r="AA269" s="67"/>
      <c r="AB269" s="67"/>
      <c r="AC269" s="67"/>
    </row>
    <row r="270" spans="2:29" ht="14.85" customHeight="1">
      <c r="B270" s="166"/>
      <c r="C270" s="173"/>
      <c r="D270" s="212">
        <v>3</v>
      </c>
      <c r="E270" s="212" t="s">
        <v>411</v>
      </c>
      <c r="F270" s="212" t="str">
        <f t="shared" si="36"/>
        <v>3 - Upstream/Downstream Transportation and Distribution</v>
      </c>
      <c r="G270" s="241" t="s">
        <v>307</v>
      </c>
      <c r="H270" s="241" t="s">
        <v>417</v>
      </c>
      <c r="I270" s="241"/>
      <c r="J270" s="241" t="s">
        <v>308</v>
      </c>
      <c r="K270" s="241" t="s">
        <v>420</v>
      </c>
      <c r="L270" s="248" t="s">
        <v>206</v>
      </c>
      <c r="M270" s="241" t="str">
        <f t="shared" si="34"/>
        <v>Diesel - Rigid (&gt;7.5 tonnes-17 tonnes) - Average LadenHeavy duty vehicles</v>
      </c>
      <c r="N270" s="284"/>
      <c r="O270" s="283"/>
      <c r="P270" s="283"/>
      <c r="Q270" s="285"/>
      <c r="R270" s="286"/>
      <c r="S270" s="232">
        <v>0.38655</v>
      </c>
      <c r="T270" s="388">
        <v>0.29861818120805367</v>
      </c>
      <c r="U270" s="241" t="s">
        <v>251</v>
      </c>
      <c r="V270" s="241"/>
      <c r="W270" s="218" t="s">
        <v>1108</v>
      </c>
      <c r="X270" s="73" t="s">
        <v>249</v>
      </c>
      <c r="Y270" s="389"/>
      <c r="Z270" s="67"/>
      <c r="AA270" s="67"/>
      <c r="AB270" s="67"/>
      <c r="AC270" s="67"/>
    </row>
    <row r="271" spans="2:29" ht="14.85" customHeight="1">
      <c r="B271" s="166"/>
      <c r="C271" s="173"/>
      <c r="D271" s="212">
        <v>3</v>
      </c>
      <c r="E271" s="212" t="s">
        <v>411</v>
      </c>
      <c r="F271" s="212" t="str">
        <f t="shared" si="36"/>
        <v>3 - Upstream/Downstream Transportation and Distribution</v>
      </c>
      <c r="G271" s="241" t="s">
        <v>307</v>
      </c>
      <c r="H271" s="241" t="s">
        <v>417</v>
      </c>
      <c r="I271" s="241"/>
      <c r="J271" s="241" t="s">
        <v>308</v>
      </c>
      <c r="K271" s="241" t="s">
        <v>420</v>
      </c>
      <c r="L271" s="248" t="s">
        <v>206</v>
      </c>
      <c r="M271" s="241" t="str">
        <f t="shared" si="34"/>
        <v>Diesel - Rigid (&gt;7.5 tonnes-17 tonnes) - Average LadenHeavy duty vehicles</v>
      </c>
      <c r="N271" s="284"/>
      <c r="O271" s="283"/>
      <c r="P271" s="283"/>
      <c r="Q271" s="285"/>
      <c r="R271" s="286"/>
      <c r="S271" s="232">
        <v>0.60793000000000008</v>
      </c>
      <c r="T271" s="388">
        <v>0.7350371181208053</v>
      </c>
      <c r="U271" s="241" t="s">
        <v>264</v>
      </c>
      <c r="V271" s="241"/>
      <c r="W271" s="218" t="s">
        <v>1108</v>
      </c>
      <c r="X271" s="73" t="s">
        <v>249</v>
      </c>
      <c r="Y271" s="389"/>
      <c r="Z271" s="67"/>
      <c r="AA271" s="67"/>
      <c r="AB271" s="67"/>
      <c r="AC271" s="67"/>
    </row>
    <row r="272" spans="2:29" ht="14.85" customHeight="1">
      <c r="B272" s="166"/>
      <c r="C272" s="173"/>
      <c r="D272" s="212">
        <v>3</v>
      </c>
      <c r="E272" s="212" t="s">
        <v>411</v>
      </c>
      <c r="F272" s="212" t="str">
        <f t="shared" si="36"/>
        <v>3 - Upstream/Downstream Transportation and Distribution</v>
      </c>
      <c r="G272" s="241" t="s">
        <v>307</v>
      </c>
      <c r="H272" s="241" t="s">
        <v>417</v>
      </c>
      <c r="I272" s="241"/>
      <c r="J272" s="241" t="s">
        <v>308</v>
      </c>
      <c r="K272" s="241" t="s">
        <v>420</v>
      </c>
      <c r="L272" s="248" t="s">
        <v>206</v>
      </c>
      <c r="M272" s="241" t="str">
        <f t="shared" si="34"/>
        <v>Diesel - Rigid (&gt;7.5 tonnes-17 tonnes) - Average LadenHeavy duty vehicles</v>
      </c>
      <c r="N272" s="284"/>
      <c r="O272" s="283"/>
      <c r="P272" s="283"/>
      <c r="Q272" s="285"/>
      <c r="R272" s="286"/>
      <c r="S272" s="232">
        <v>0.97838000000000003</v>
      </c>
      <c r="T272" s="388">
        <v>1.1829350402684564</v>
      </c>
      <c r="U272" s="241" t="s">
        <v>419</v>
      </c>
      <c r="V272" s="241"/>
      <c r="W272" s="218" t="s">
        <v>1108</v>
      </c>
      <c r="X272" s="73" t="s">
        <v>249</v>
      </c>
      <c r="Y272" s="389"/>
      <c r="Z272" s="67"/>
      <c r="AA272" s="67"/>
      <c r="AB272" s="67"/>
      <c r="AC272" s="67"/>
    </row>
    <row r="273" spans="2:29" ht="14.85" customHeight="1">
      <c r="B273" s="166"/>
      <c r="C273" s="173"/>
      <c r="D273" s="212">
        <v>3</v>
      </c>
      <c r="E273" s="212" t="s">
        <v>411</v>
      </c>
      <c r="F273" s="212" t="str">
        <f t="shared" si="36"/>
        <v>3 - Upstream/Downstream Transportation and Distribution</v>
      </c>
      <c r="G273" s="241" t="s">
        <v>307</v>
      </c>
      <c r="H273" s="241" t="s">
        <v>417</v>
      </c>
      <c r="I273" s="241"/>
      <c r="J273" s="241" t="s">
        <v>308</v>
      </c>
      <c r="K273" s="241" t="s">
        <v>421</v>
      </c>
      <c r="L273" s="248" t="s">
        <v>206</v>
      </c>
      <c r="M273" s="241" t="str">
        <f t="shared" si="34"/>
        <v>Diesel - Rigid (&gt;17 tonnes) - Average LadenHeavy duty vehicles</v>
      </c>
      <c r="N273" s="284"/>
      <c r="O273" s="283"/>
      <c r="P273" s="283"/>
      <c r="Q273" s="285"/>
      <c r="R273" s="286"/>
      <c r="S273" s="232">
        <v>0.18597000000000002</v>
      </c>
      <c r="T273" s="388">
        <v>0.23982577315436243</v>
      </c>
      <c r="U273" s="241" t="s">
        <v>251</v>
      </c>
      <c r="V273" s="241"/>
      <c r="W273" s="218" t="s">
        <v>1109</v>
      </c>
      <c r="X273" s="73" t="s">
        <v>249</v>
      </c>
      <c r="Y273" s="389"/>
      <c r="Z273" s="67"/>
      <c r="AA273" s="67"/>
      <c r="AB273" s="67"/>
      <c r="AC273" s="67"/>
    </row>
    <row r="274" spans="2:29" ht="14.85" customHeight="1">
      <c r="B274" s="166"/>
      <c r="C274" s="173"/>
      <c r="D274" s="212">
        <v>3</v>
      </c>
      <c r="E274" s="212" t="s">
        <v>411</v>
      </c>
      <c r="F274" s="212" t="str">
        <f t="shared" si="36"/>
        <v>3 - Upstream/Downstream Transportation and Distribution</v>
      </c>
      <c r="G274" s="241" t="s">
        <v>307</v>
      </c>
      <c r="H274" s="241" t="s">
        <v>417</v>
      </c>
      <c r="I274" s="241"/>
      <c r="J274" s="241" t="s">
        <v>308</v>
      </c>
      <c r="K274" s="241" t="s">
        <v>421</v>
      </c>
      <c r="L274" s="248" t="s">
        <v>206</v>
      </c>
      <c r="M274" s="241" t="str">
        <f t="shared" si="34"/>
        <v>Diesel - Rigid (&gt;17 tonnes) - Average LadenHeavy duty vehicles</v>
      </c>
      <c r="N274" s="284"/>
      <c r="O274" s="283"/>
      <c r="P274" s="283"/>
      <c r="Q274" s="285"/>
      <c r="R274" s="286"/>
      <c r="S274" s="232">
        <v>0.99336999999999998</v>
      </c>
      <c r="T274" s="388">
        <v>1.0815751073825504</v>
      </c>
      <c r="U274" s="241" t="s">
        <v>264</v>
      </c>
      <c r="V274" s="241"/>
      <c r="W274" s="218" t="s">
        <v>1109</v>
      </c>
      <c r="X274" s="73" t="s">
        <v>249</v>
      </c>
      <c r="Y274" s="389"/>
      <c r="Z274" s="67"/>
      <c r="AA274" s="67"/>
      <c r="AB274" s="67"/>
      <c r="AC274" s="67"/>
    </row>
    <row r="275" spans="2:29" ht="14.85" customHeight="1">
      <c r="B275" s="166"/>
      <c r="C275" s="173"/>
      <c r="D275" s="212">
        <v>3</v>
      </c>
      <c r="E275" s="212" t="s">
        <v>411</v>
      </c>
      <c r="F275" s="212" t="str">
        <f t="shared" si="36"/>
        <v>3 - Upstream/Downstream Transportation and Distribution</v>
      </c>
      <c r="G275" s="241" t="s">
        <v>307</v>
      </c>
      <c r="H275" s="241" t="s">
        <v>417</v>
      </c>
      <c r="I275" s="241"/>
      <c r="J275" s="241" t="s">
        <v>308</v>
      </c>
      <c r="K275" s="241" t="s">
        <v>421</v>
      </c>
      <c r="L275" s="248" t="s">
        <v>206</v>
      </c>
      <c r="M275" s="241" t="str">
        <f t="shared" si="34"/>
        <v>Diesel - Rigid (&gt;17 tonnes) - Average LadenHeavy duty vehicles</v>
      </c>
      <c r="N275" s="284"/>
      <c r="O275" s="283"/>
      <c r="P275" s="283"/>
      <c r="Q275" s="285"/>
      <c r="R275" s="286"/>
      <c r="S275" s="232">
        <v>1.5986800000000001</v>
      </c>
      <c r="T275" s="388">
        <v>1.740627855033557</v>
      </c>
      <c r="U275" s="241" t="s">
        <v>419</v>
      </c>
      <c r="V275" s="241"/>
      <c r="W275" s="218" t="s">
        <v>1109</v>
      </c>
      <c r="X275" s="73" t="s">
        <v>249</v>
      </c>
      <c r="Y275" s="389"/>
      <c r="Z275" s="67"/>
      <c r="AA275" s="67"/>
      <c r="AB275" s="67"/>
      <c r="AC275" s="67"/>
    </row>
    <row r="276" spans="2:29" ht="14.85" customHeight="1">
      <c r="B276" s="166"/>
      <c r="C276" s="173"/>
      <c r="D276" s="212">
        <v>3</v>
      </c>
      <c r="E276" s="212" t="s">
        <v>411</v>
      </c>
      <c r="F276" s="212" t="str">
        <f t="shared" si="36"/>
        <v>3 - Upstream/Downstream Transportation and Distribution</v>
      </c>
      <c r="G276" s="241" t="s">
        <v>307</v>
      </c>
      <c r="H276" s="241" t="s">
        <v>417</v>
      </c>
      <c r="I276" s="241"/>
      <c r="J276" s="241" t="s">
        <v>308</v>
      </c>
      <c r="K276" s="241" t="s">
        <v>250</v>
      </c>
      <c r="L276" s="248" t="s">
        <v>206</v>
      </c>
      <c r="M276" s="241" t="str">
        <f t="shared" si="34"/>
        <v>Diesel - All rigids - Average LadenHeavy duty vehicles</v>
      </c>
      <c r="N276" s="284"/>
      <c r="O276" s="283"/>
      <c r="P276" s="283"/>
      <c r="Q276" s="285"/>
      <c r="R276" s="286"/>
      <c r="S276" s="232">
        <v>0.21345</v>
      </c>
      <c r="T276" s="388">
        <v>0.25549593288590605</v>
      </c>
      <c r="U276" s="241" t="s">
        <v>251</v>
      </c>
      <c r="V276" s="241"/>
      <c r="W276" s="218" t="s">
        <v>1110</v>
      </c>
      <c r="X276" s="73" t="s">
        <v>249</v>
      </c>
      <c r="Y276" s="389"/>
      <c r="Z276" s="67"/>
      <c r="AA276" s="67"/>
      <c r="AB276" s="67"/>
      <c r="AC276" s="67"/>
    </row>
    <row r="277" spans="2:29" ht="14.85" customHeight="1">
      <c r="B277" s="166"/>
      <c r="C277" s="173"/>
      <c r="D277" s="212">
        <v>3</v>
      </c>
      <c r="E277" s="212" t="s">
        <v>411</v>
      </c>
      <c r="F277" s="212" t="str">
        <f t="shared" si="36"/>
        <v>3 - Upstream/Downstream Transportation and Distribution</v>
      </c>
      <c r="G277" s="241" t="s">
        <v>307</v>
      </c>
      <c r="H277" s="241" t="s">
        <v>417</v>
      </c>
      <c r="I277" s="241"/>
      <c r="J277" s="241" t="s">
        <v>308</v>
      </c>
      <c r="K277" s="241" t="s">
        <v>250</v>
      </c>
      <c r="L277" s="248" t="s">
        <v>206</v>
      </c>
      <c r="M277" s="241" t="str">
        <f t="shared" si="34"/>
        <v>Diesel - All rigids - Average LadenHeavy duty vehicles</v>
      </c>
      <c r="N277" s="284"/>
      <c r="O277" s="283"/>
      <c r="P277" s="283"/>
      <c r="Q277" s="285"/>
      <c r="R277" s="286"/>
      <c r="S277" s="232">
        <v>0.84061000000000008</v>
      </c>
      <c r="T277" s="388">
        <v>0.93244412483221484</v>
      </c>
      <c r="U277" s="241" t="s">
        <v>264</v>
      </c>
      <c r="V277" s="241"/>
      <c r="W277" s="218" t="s">
        <v>1110</v>
      </c>
      <c r="X277" s="73" t="s">
        <v>249</v>
      </c>
      <c r="Y277" s="389"/>
      <c r="Z277" s="67"/>
      <c r="AA277" s="67"/>
      <c r="AB277" s="67"/>
      <c r="AC277" s="67"/>
    </row>
    <row r="278" spans="2:29" ht="14.85" customHeight="1">
      <c r="B278" s="166"/>
      <c r="C278" s="173"/>
      <c r="D278" s="212">
        <v>3</v>
      </c>
      <c r="E278" s="212" t="s">
        <v>411</v>
      </c>
      <c r="F278" s="212" t="str">
        <f t="shared" si="36"/>
        <v>3 - Upstream/Downstream Transportation and Distribution</v>
      </c>
      <c r="G278" s="241" t="s">
        <v>307</v>
      </c>
      <c r="H278" s="241" t="s">
        <v>417</v>
      </c>
      <c r="I278" s="241"/>
      <c r="J278" s="241" t="s">
        <v>308</v>
      </c>
      <c r="K278" s="241" t="s">
        <v>250</v>
      </c>
      <c r="L278" s="248" t="s">
        <v>206</v>
      </c>
      <c r="M278" s="241" t="str">
        <f t="shared" si="34"/>
        <v>Diesel - All rigids - Average LadenHeavy duty vehicles</v>
      </c>
      <c r="N278" s="284"/>
      <c r="O278" s="283"/>
      <c r="P278" s="283"/>
      <c r="Q278" s="285"/>
      <c r="R278" s="286"/>
      <c r="S278" s="232">
        <v>1.3528199999999999</v>
      </c>
      <c r="T278" s="388">
        <v>1.5006128362416107</v>
      </c>
      <c r="U278" s="241" t="s">
        <v>419</v>
      </c>
      <c r="V278" s="241"/>
      <c r="W278" s="218" t="s">
        <v>1110</v>
      </c>
      <c r="X278" s="73" t="s">
        <v>249</v>
      </c>
      <c r="Y278" s="389"/>
      <c r="Z278" s="67"/>
      <c r="AA278" s="67"/>
      <c r="AB278" s="67"/>
      <c r="AC278" s="67"/>
    </row>
    <row r="279" spans="2:29" ht="14.85" customHeight="1">
      <c r="B279" s="166"/>
      <c r="C279" s="173"/>
      <c r="D279" s="212">
        <v>3</v>
      </c>
      <c r="E279" s="212" t="s">
        <v>411</v>
      </c>
      <c r="F279" s="212" t="str">
        <f t="shared" si="36"/>
        <v>3 - Upstream/Downstream Transportation and Distribution</v>
      </c>
      <c r="G279" s="241" t="s">
        <v>307</v>
      </c>
      <c r="H279" s="241" t="s">
        <v>417</v>
      </c>
      <c r="I279" s="241"/>
      <c r="J279" s="241" t="s">
        <v>308</v>
      </c>
      <c r="K279" s="241" t="s">
        <v>422</v>
      </c>
      <c r="L279" s="248" t="s">
        <v>206</v>
      </c>
      <c r="M279" s="241" t="str">
        <f t="shared" si="34"/>
        <v>Diesel - Articulated (&gt;3.5 - 33t) - Average LadenHeavy duty vehicles</v>
      </c>
      <c r="N279" s="284"/>
      <c r="O279" s="283"/>
      <c r="P279" s="283"/>
      <c r="Q279" s="285"/>
      <c r="R279" s="286"/>
      <c r="S279" s="232">
        <v>0.14013</v>
      </c>
      <c r="T279" s="388">
        <v>0.13383542013422819</v>
      </c>
      <c r="U279" s="241" t="s">
        <v>251</v>
      </c>
      <c r="V279" s="241"/>
      <c r="W279" s="218" t="s">
        <v>1111</v>
      </c>
      <c r="X279" s="73" t="s">
        <v>249</v>
      </c>
      <c r="Y279" s="389"/>
      <c r="Z279" s="67"/>
      <c r="AA279" s="67"/>
      <c r="AB279" s="67"/>
      <c r="AC279" s="67"/>
    </row>
    <row r="280" spans="2:29" ht="14.85" customHeight="1">
      <c r="B280" s="166"/>
      <c r="C280" s="173"/>
      <c r="D280" s="212">
        <v>3</v>
      </c>
      <c r="E280" s="212" t="s">
        <v>411</v>
      </c>
      <c r="F280" s="212" t="str">
        <f t="shared" si="36"/>
        <v>3 - Upstream/Downstream Transportation and Distribution</v>
      </c>
      <c r="G280" s="241" t="s">
        <v>307</v>
      </c>
      <c r="H280" s="241" t="s">
        <v>417</v>
      </c>
      <c r="I280" s="241"/>
      <c r="J280" s="241" t="s">
        <v>308</v>
      </c>
      <c r="K280" s="241" t="s">
        <v>422</v>
      </c>
      <c r="L280" s="248" t="s">
        <v>206</v>
      </c>
      <c r="M280" s="241" t="str">
        <f t="shared" si="34"/>
        <v>Diesel - Articulated (&gt;3.5 - 33t) - Average LadenHeavy duty vehicles</v>
      </c>
      <c r="N280" s="284"/>
      <c r="O280" s="283"/>
      <c r="P280" s="283"/>
      <c r="Q280" s="285"/>
      <c r="R280" s="286"/>
      <c r="S280" s="232">
        <v>0.78111000000000008</v>
      </c>
      <c r="T280" s="388">
        <v>0.88672826711409392</v>
      </c>
      <c r="U280" s="241" t="s">
        <v>264</v>
      </c>
      <c r="V280" s="241"/>
      <c r="W280" s="218" t="s">
        <v>1111</v>
      </c>
      <c r="X280" s="73" t="s">
        <v>249</v>
      </c>
      <c r="Y280" s="389"/>
      <c r="Z280" s="67"/>
      <c r="AA280" s="67"/>
      <c r="AB280" s="67"/>
      <c r="AC280" s="67"/>
    </row>
    <row r="281" spans="2:29" ht="14.85" customHeight="1">
      <c r="B281" s="166"/>
      <c r="C281" s="173"/>
      <c r="D281" s="212">
        <v>3</v>
      </c>
      <c r="E281" s="212" t="s">
        <v>411</v>
      </c>
      <c r="F281" s="212" t="str">
        <f t="shared" si="36"/>
        <v>3 - Upstream/Downstream Transportation and Distribution</v>
      </c>
      <c r="G281" s="241" t="s">
        <v>307</v>
      </c>
      <c r="H281" s="241" t="s">
        <v>417</v>
      </c>
      <c r="I281" s="241"/>
      <c r="J281" s="241" t="s">
        <v>308</v>
      </c>
      <c r="K281" s="241" t="s">
        <v>422</v>
      </c>
      <c r="L281" s="248" t="s">
        <v>206</v>
      </c>
      <c r="M281" s="241" t="str">
        <f t="shared" si="34"/>
        <v>Diesel - Articulated (&gt;3.5 - 33t) - Average LadenHeavy duty vehicles</v>
      </c>
      <c r="N281" s="284"/>
      <c r="O281" s="283"/>
      <c r="P281" s="283"/>
      <c r="Q281" s="285"/>
      <c r="R281" s="286"/>
      <c r="S281" s="232">
        <v>1.2570600000000001</v>
      </c>
      <c r="T281" s="388">
        <v>1.4270396617449663</v>
      </c>
      <c r="U281" s="241" t="s">
        <v>419</v>
      </c>
      <c r="V281" s="241"/>
      <c r="W281" s="218" t="s">
        <v>1111</v>
      </c>
      <c r="X281" s="73" t="s">
        <v>249</v>
      </c>
      <c r="Y281" s="389"/>
      <c r="Z281" s="67"/>
      <c r="AA281" s="67"/>
      <c r="AB281" s="67"/>
      <c r="AC281" s="67"/>
    </row>
    <row r="282" spans="2:29" ht="14.85" customHeight="1">
      <c r="B282" s="166"/>
      <c r="C282" s="173"/>
      <c r="D282" s="212">
        <v>3</v>
      </c>
      <c r="E282" s="212" t="s">
        <v>411</v>
      </c>
      <c r="F282" s="212" t="str">
        <f t="shared" si="36"/>
        <v>3 - Upstream/Downstream Transportation and Distribution</v>
      </c>
      <c r="G282" s="241" t="s">
        <v>307</v>
      </c>
      <c r="H282" s="241" t="s">
        <v>417</v>
      </c>
      <c r="I282" s="241"/>
      <c r="J282" s="241" t="s">
        <v>308</v>
      </c>
      <c r="K282" s="241" t="s">
        <v>423</v>
      </c>
      <c r="L282" s="248" t="s">
        <v>206</v>
      </c>
      <c r="M282" s="241" t="str">
        <f t="shared" si="34"/>
        <v>Diesel - Articulated (&gt;33t) - Average LadenHeavy duty vehicles</v>
      </c>
      <c r="N282" s="284"/>
      <c r="O282" s="283"/>
      <c r="P282" s="283"/>
      <c r="Q282" s="285"/>
      <c r="R282" s="286"/>
      <c r="S282" s="232">
        <v>8.0319999999999989E-2</v>
      </c>
      <c r="T282" s="388">
        <v>0.10711408590604027</v>
      </c>
      <c r="U282" s="241" t="s">
        <v>251</v>
      </c>
      <c r="V282" s="241"/>
      <c r="W282" s="218" t="s">
        <v>1112</v>
      </c>
      <c r="X282" s="73" t="s">
        <v>249</v>
      </c>
      <c r="Y282" s="389"/>
      <c r="Z282" s="67"/>
      <c r="AA282" s="67"/>
      <c r="AB282" s="67"/>
      <c r="AC282" s="67"/>
    </row>
    <row r="283" spans="2:29" ht="14.85" customHeight="1">
      <c r="B283" s="166"/>
      <c r="C283" s="173"/>
      <c r="D283" s="212">
        <v>3</v>
      </c>
      <c r="E283" s="212" t="s">
        <v>411</v>
      </c>
      <c r="F283" s="212" t="str">
        <f t="shared" si="36"/>
        <v>3 - Upstream/Downstream Transportation and Distribution</v>
      </c>
      <c r="G283" s="241" t="s">
        <v>307</v>
      </c>
      <c r="H283" s="241" t="s">
        <v>417</v>
      </c>
      <c r="I283" s="241"/>
      <c r="J283" s="241" t="s">
        <v>308</v>
      </c>
      <c r="K283" s="241" t="s">
        <v>423</v>
      </c>
      <c r="L283" s="248" t="s">
        <v>206</v>
      </c>
      <c r="M283" s="241" t="str">
        <f t="shared" si="34"/>
        <v>Diesel - Articulated (&gt;33t) - Average LadenHeavy duty vehicles</v>
      </c>
      <c r="N283" s="284"/>
      <c r="O283" s="283"/>
      <c r="P283" s="283"/>
      <c r="Q283" s="285"/>
      <c r="R283" s="286"/>
      <c r="S283" s="232">
        <v>0.93003999999999998</v>
      </c>
      <c r="T283" s="388">
        <v>0.96987496241610738</v>
      </c>
      <c r="U283" s="241" t="s">
        <v>264</v>
      </c>
      <c r="V283" s="241"/>
      <c r="W283" s="218" t="s">
        <v>1112</v>
      </c>
      <c r="X283" s="73" t="s">
        <v>249</v>
      </c>
      <c r="Y283" s="389"/>
      <c r="Z283" s="67"/>
      <c r="AA283" s="67"/>
      <c r="AB283" s="67"/>
      <c r="AC283" s="67"/>
    </row>
    <row r="284" spans="2:29" ht="14.85" customHeight="1">
      <c r="B284" s="166"/>
      <c r="C284" s="173"/>
      <c r="D284" s="212">
        <v>3</v>
      </c>
      <c r="E284" s="212" t="s">
        <v>411</v>
      </c>
      <c r="F284" s="212" t="str">
        <f t="shared" si="36"/>
        <v>3 - Upstream/Downstream Transportation and Distribution</v>
      </c>
      <c r="G284" s="241" t="s">
        <v>307</v>
      </c>
      <c r="H284" s="241" t="s">
        <v>417</v>
      </c>
      <c r="I284" s="241"/>
      <c r="J284" s="241" t="s">
        <v>308</v>
      </c>
      <c r="K284" s="241" t="s">
        <v>423</v>
      </c>
      <c r="L284" s="248" t="s">
        <v>206</v>
      </c>
      <c r="M284" s="241" t="str">
        <f t="shared" si="34"/>
        <v>Diesel - Articulated (&gt;33t) - Average LadenHeavy duty vehicles</v>
      </c>
      <c r="N284" s="284"/>
      <c r="O284" s="283"/>
      <c r="P284" s="283"/>
      <c r="Q284" s="285"/>
      <c r="R284" s="286"/>
      <c r="S284" s="232">
        <v>1.49674</v>
      </c>
      <c r="T284" s="388">
        <v>1.5608425906040269</v>
      </c>
      <c r="U284" s="241" t="s">
        <v>419</v>
      </c>
      <c r="V284" s="241"/>
      <c r="W284" s="218" t="s">
        <v>1112</v>
      </c>
      <c r="X284" s="73" t="s">
        <v>249</v>
      </c>
      <c r="Y284" s="389"/>
      <c r="Z284" s="67"/>
      <c r="AA284" s="67"/>
      <c r="AB284" s="67"/>
      <c r="AC284" s="67"/>
    </row>
    <row r="285" spans="2:29" ht="14.85" customHeight="1">
      <c r="B285" s="166"/>
      <c r="C285" s="173"/>
      <c r="D285" s="212">
        <v>3</v>
      </c>
      <c r="E285" s="212" t="s">
        <v>411</v>
      </c>
      <c r="F285" s="212" t="str">
        <f t="shared" si="36"/>
        <v>3 - Upstream/Downstream Transportation and Distribution</v>
      </c>
      <c r="G285" s="241" t="s">
        <v>307</v>
      </c>
      <c r="H285" s="241" t="s">
        <v>417</v>
      </c>
      <c r="I285" s="241"/>
      <c r="J285" s="241" t="s">
        <v>308</v>
      </c>
      <c r="K285" s="241" t="s">
        <v>424</v>
      </c>
      <c r="L285" s="248" t="s">
        <v>206</v>
      </c>
      <c r="M285" s="241" t="str">
        <f t="shared" si="34"/>
        <v>Diesel - All artics - Average LadenHeavy duty vehicles</v>
      </c>
      <c r="N285" s="284"/>
      <c r="O285" s="283"/>
      <c r="P285" s="283"/>
      <c r="Q285" s="285"/>
      <c r="R285" s="286"/>
      <c r="S285" s="232">
        <v>8.1529999999999991E-2</v>
      </c>
      <c r="T285" s="388">
        <v>0.10774297852348994</v>
      </c>
      <c r="U285" s="241" t="s">
        <v>251</v>
      </c>
      <c r="V285" s="241"/>
      <c r="W285" s="218" t="s">
        <v>1113</v>
      </c>
      <c r="X285" s="73" t="s">
        <v>249</v>
      </c>
      <c r="Y285" s="389"/>
      <c r="Z285" s="67"/>
      <c r="AA285" s="67"/>
      <c r="AB285" s="67"/>
      <c r="AC285" s="67"/>
    </row>
    <row r="286" spans="2:29" ht="14.85" customHeight="1">
      <c r="B286" s="166"/>
      <c r="C286" s="173"/>
      <c r="D286" s="212">
        <v>3</v>
      </c>
      <c r="E286" s="212" t="s">
        <v>411</v>
      </c>
      <c r="F286" s="212" t="str">
        <f t="shared" si="36"/>
        <v>3 - Upstream/Downstream Transportation and Distribution</v>
      </c>
      <c r="G286" s="241" t="s">
        <v>307</v>
      </c>
      <c r="H286" s="241" t="s">
        <v>417</v>
      </c>
      <c r="I286" s="241"/>
      <c r="J286" s="241" t="s">
        <v>308</v>
      </c>
      <c r="K286" s="241" t="s">
        <v>424</v>
      </c>
      <c r="L286" s="248" t="s">
        <v>206</v>
      </c>
      <c r="M286" s="241" t="str">
        <f t="shared" si="34"/>
        <v>Diesel - All artics - Average LadenHeavy duty vehicles</v>
      </c>
      <c r="N286" s="284"/>
      <c r="O286" s="283"/>
      <c r="P286" s="283"/>
      <c r="Q286" s="285"/>
      <c r="R286" s="286"/>
      <c r="S286" s="232">
        <v>0.9239099999999999</v>
      </c>
      <c r="T286" s="388">
        <v>0.96633714362416112</v>
      </c>
      <c r="U286" s="241" t="s">
        <v>264</v>
      </c>
      <c r="V286" s="241"/>
      <c r="W286" s="218" t="s">
        <v>1113</v>
      </c>
      <c r="X286" s="73" t="s">
        <v>249</v>
      </c>
      <c r="Y286" s="389"/>
      <c r="Z286" s="67"/>
      <c r="AA286" s="67"/>
      <c r="AB286" s="67"/>
      <c r="AC286" s="67"/>
    </row>
    <row r="287" spans="2:29" ht="14.85" customHeight="1">
      <c r="B287" s="166"/>
      <c r="C287" s="173"/>
      <c r="D287" s="212">
        <v>3</v>
      </c>
      <c r="E287" s="212" t="s">
        <v>411</v>
      </c>
      <c r="F287" s="212" t="str">
        <f t="shared" si="36"/>
        <v>3 - Upstream/Downstream Transportation and Distribution</v>
      </c>
      <c r="G287" s="241" t="s">
        <v>307</v>
      </c>
      <c r="H287" s="241" t="s">
        <v>417</v>
      </c>
      <c r="I287" s="241"/>
      <c r="J287" s="241" t="s">
        <v>308</v>
      </c>
      <c r="K287" s="241" t="s">
        <v>424</v>
      </c>
      <c r="L287" s="248" t="s">
        <v>206</v>
      </c>
      <c r="M287" s="241" t="str">
        <f t="shared" si="34"/>
        <v>Diesel - All artics - Average LadenHeavy duty vehicles</v>
      </c>
      <c r="N287" s="284"/>
      <c r="O287" s="283"/>
      <c r="P287" s="283"/>
      <c r="Q287" s="285"/>
      <c r="R287" s="286"/>
      <c r="S287" s="232">
        <v>1.48688</v>
      </c>
      <c r="T287" s="388">
        <v>1.5551614161073826</v>
      </c>
      <c r="U287" s="241" t="s">
        <v>419</v>
      </c>
      <c r="V287" s="241"/>
      <c r="W287" s="218" t="s">
        <v>1113</v>
      </c>
      <c r="X287" s="73" t="s">
        <v>249</v>
      </c>
      <c r="Y287" s="389"/>
      <c r="Z287" s="67"/>
      <c r="AA287" s="67"/>
      <c r="AB287" s="67"/>
      <c r="AC287" s="67"/>
    </row>
    <row r="288" spans="2:29" ht="14.85" customHeight="1">
      <c r="B288" s="166"/>
      <c r="C288" s="173"/>
      <c r="D288" s="212">
        <v>3</v>
      </c>
      <c r="E288" s="212" t="s">
        <v>411</v>
      </c>
      <c r="F288" s="212" t="str">
        <f t="shared" si="36"/>
        <v>3 - Upstream/Downstream Transportation and Distribution</v>
      </c>
      <c r="G288" s="241" t="s">
        <v>307</v>
      </c>
      <c r="H288" s="241" t="s">
        <v>417</v>
      </c>
      <c r="I288" s="241"/>
      <c r="J288" s="241" t="s">
        <v>308</v>
      </c>
      <c r="K288" s="241" t="s">
        <v>425</v>
      </c>
      <c r="L288" s="248" t="s">
        <v>206</v>
      </c>
      <c r="M288" s="241" t="str">
        <f t="shared" si="34"/>
        <v>Diesel - All HGVs - Average LadenHeavy duty vehicles</v>
      </c>
      <c r="N288" s="284"/>
      <c r="O288" s="283"/>
      <c r="P288" s="283"/>
      <c r="Q288" s="285"/>
      <c r="R288" s="286"/>
      <c r="S288" s="232">
        <v>0.10614000000000001</v>
      </c>
      <c r="T288" s="388">
        <v>0.13909092348993288</v>
      </c>
      <c r="U288" s="241" t="s">
        <v>251</v>
      </c>
      <c r="V288" s="241"/>
      <c r="W288" s="218" t="s">
        <v>1114</v>
      </c>
      <c r="X288" s="73" t="s">
        <v>249</v>
      </c>
      <c r="Y288" s="389"/>
      <c r="Z288" s="67"/>
      <c r="AA288" s="67"/>
      <c r="AB288" s="67"/>
      <c r="AC288" s="67"/>
    </row>
    <row r="289" spans="2:29" ht="14.85" customHeight="1">
      <c r="B289" s="166"/>
      <c r="C289" s="173"/>
      <c r="D289" s="212">
        <v>3</v>
      </c>
      <c r="E289" s="212" t="s">
        <v>411</v>
      </c>
      <c r="F289" s="212" t="str">
        <f t="shared" si="36"/>
        <v>3 - Upstream/Downstream Transportation and Distribution</v>
      </c>
      <c r="G289" s="241" t="s">
        <v>307</v>
      </c>
      <c r="H289" s="241" t="s">
        <v>417</v>
      </c>
      <c r="I289" s="241"/>
      <c r="J289" s="241" t="s">
        <v>308</v>
      </c>
      <c r="K289" s="241" t="s">
        <v>425</v>
      </c>
      <c r="L289" s="248" t="s">
        <v>206</v>
      </c>
      <c r="M289" s="241" t="str">
        <f t="shared" si="34"/>
        <v>Diesel - All HGVs - Average LadenHeavy duty vehicles</v>
      </c>
      <c r="N289" s="284"/>
      <c r="O289" s="283"/>
      <c r="P289" s="283"/>
      <c r="Q289" s="285"/>
      <c r="R289" s="286"/>
      <c r="S289" s="232">
        <v>0.89061000000000001</v>
      </c>
      <c r="T289" s="388">
        <v>0.95260847785234892</v>
      </c>
      <c r="U289" s="241" t="s">
        <v>264</v>
      </c>
      <c r="V289" s="241"/>
      <c r="W289" s="218" t="s">
        <v>1114</v>
      </c>
      <c r="X289" s="73" t="s">
        <v>249</v>
      </c>
      <c r="Y289" s="389"/>
      <c r="Z289" s="67"/>
      <c r="AA289" s="67"/>
      <c r="AB289" s="67"/>
      <c r="AC289" s="67"/>
    </row>
    <row r="290" spans="2:29" ht="14.85" customHeight="1">
      <c r="B290" s="166"/>
      <c r="C290" s="173"/>
      <c r="D290" s="212">
        <v>3</v>
      </c>
      <c r="E290" s="212" t="s">
        <v>411</v>
      </c>
      <c r="F290" s="212" t="str">
        <f t="shared" si="36"/>
        <v>3 - Upstream/Downstream Transportation and Distribution</v>
      </c>
      <c r="G290" s="241" t="s">
        <v>307</v>
      </c>
      <c r="H290" s="241" t="s">
        <v>417</v>
      </c>
      <c r="I290" s="241"/>
      <c r="J290" s="241" t="s">
        <v>308</v>
      </c>
      <c r="K290" s="241" t="s">
        <v>425</v>
      </c>
      <c r="L290" s="248" t="s">
        <v>206</v>
      </c>
      <c r="M290" s="241" t="str">
        <f t="shared" si="34"/>
        <v>Diesel - All HGVs - Average LadenHeavy duty vehicles</v>
      </c>
      <c r="N290" s="284"/>
      <c r="O290" s="283"/>
      <c r="P290" s="283"/>
      <c r="Q290" s="285"/>
      <c r="R290" s="286"/>
      <c r="S290" s="232">
        <v>1.43329</v>
      </c>
      <c r="T290" s="388">
        <v>1.5330734389261746</v>
      </c>
      <c r="U290" s="241" t="s">
        <v>419</v>
      </c>
      <c r="V290" s="241"/>
      <c r="W290" s="218" t="s">
        <v>1114</v>
      </c>
      <c r="X290" s="73" t="s">
        <v>249</v>
      </c>
      <c r="Y290" s="389"/>
      <c r="Z290" s="67"/>
      <c r="AA290" s="67"/>
      <c r="AB290" s="67"/>
      <c r="AC290" s="67"/>
    </row>
    <row r="291" spans="2:29" ht="14.85" customHeight="1">
      <c r="B291" s="166"/>
      <c r="C291" s="173"/>
      <c r="D291" s="212">
        <v>3</v>
      </c>
      <c r="E291" s="212" t="s">
        <v>411</v>
      </c>
      <c r="F291" s="212" t="str">
        <f t="shared" si="36"/>
        <v>3 - Upstream/Downstream Transportation and Distribution</v>
      </c>
      <c r="G291" s="241" t="s">
        <v>307</v>
      </c>
      <c r="H291" s="241" t="s">
        <v>426</v>
      </c>
      <c r="I291" s="241"/>
      <c r="J291" s="241" t="s">
        <v>308</v>
      </c>
      <c r="K291" s="241" t="s">
        <v>418</v>
      </c>
      <c r="L291" s="248" t="s">
        <v>427</v>
      </c>
      <c r="M291" s="241" t="str">
        <f t="shared" si="34"/>
        <v>Diesel - Rigid (&gt;3.5 - 7.5 tonnes) - Average LadenHeavy duty vehicles (refrigerated)</v>
      </c>
      <c r="N291" s="284"/>
      <c r="O291" s="283"/>
      <c r="P291" s="283"/>
      <c r="Q291" s="285"/>
      <c r="R291" s="286"/>
      <c r="S291" s="232">
        <v>0.66944999999999999</v>
      </c>
      <c r="T291" s="388">
        <v>0.53089398791946307</v>
      </c>
      <c r="U291" s="241" t="s">
        <v>251</v>
      </c>
      <c r="V291" s="241"/>
      <c r="W291" s="218" t="s">
        <v>1115</v>
      </c>
      <c r="X291" s="73" t="s">
        <v>249</v>
      </c>
      <c r="Y291" s="389"/>
      <c r="Z291" s="67"/>
      <c r="AA291" s="67"/>
      <c r="AB291" s="67"/>
      <c r="AC291" s="67"/>
    </row>
    <row r="292" spans="2:29" ht="14.85" customHeight="1">
      <c r="B292" s="166"/>
      <c r="C292" s="173"/>
      <c r="D292" s="212">
        <v>3</v>
      </c>
      <c r="E292" s="212" t="s">
        <v>411</v>
      </c>
      <c r="F292" s="212" t="str">
        <f t="shared" si="36"/>
        <v>3 - Upstream/Downstream Transportation and Distribution</v>
      </c>
      <c r="G292" s="241" t="s">
        <v>307</v>
      </c>
      <c r="H292" s="241" t="s">
        <v>426</v>
      </c>
      <c r="I292" s="241"/>
      <c r="J292" s="241" t="s">
        <v>308</v>
      </c>
      <c r="K292" s="241" t="s">
        <v>418</v>
      </c>
      <c r="L292" s="248" t="s">
        <v>427</v>
      </c>
      <c r="M292" s="241" t="str">
        <f t="shared" si="34"/>
        <v>Diesel - Rigid (&gt;3.5 - 7.5 tonnes) - Average LadenHeavy duty vehicles (refrigerated)</v>
      </c>
      <c r="N292" s="284"/>
      <c r="O292" s="283"/>
      <c r="P292" s="283"/>
      <c r="Q292" s="285"/>
      <c r="R292" s="286"/>
      <c r="S292" s="232">
        <v>0.59244999999999992</v>
      </c>
      <c r="T292" s="388">
        <v>0.58477978523489937</v>
      </c>
      <c r="U292" s="241" t="s">
        <v>264</v>
      </c>
      <c r="V292" s="241"/>
      <c r="W292" s="218" t="s">
        <v>1115</v>
      </c>
      <c r="X292" s="73" t="s">
        <v>249</v>
      </c>
      <c r="Y292" s="389"/>
      <c r="Z292" s="67"/>
      <c r="AA292" s="67"/>
      <c r="AB292" s="67"/>
      <c r="AC292" s="67"/>
    </row>
    <row r="293" spans="2:29" ht="14.85" customHeight="1">
      <c r="B293" s="166"/>
      <c r="C293" s="173"/>
      <c r="D293" s="212">
        <v>3</v>
      </c>
      <c r="E293" s="212" t="s">
        <v>411</v>
      </c>
      <c r="F293" s="212" t="str">
        <f t="shared" si="36"/>
        <v>3 - Upstream/Downstream Transportation and Distribution</v>
      </c>
      <c r="G293" s="241" t="s">
        <v>307</v>
      </c>
      <c r="H293" s="241" t="s">
        <v>426</v>
      </c>
      <c r="I293" s="241"/>
      <c r="J293" s="241" t="s">
        <v>308</v>
      </c>
      <c r="K293" s="241" t="s">
        <v>418</v>
      </c>
      <c r="L293" s="248" t="s">
        <v>427</v>
      </c>
      <c r="M293" s="241" t="str">
        <f t="shared" si="34"/>
        <v>Diesel - Rigid (&gt;3.5 - 7.5 tonnes) - Average LadenHeavy duty vehicles (refrigerated)</v>
      </c>
      <c r="N293" s="284"/>
      <c r="O293" s="283"/>
      <c r="P293" s="283"/>
      <c r="Q293" s="285"/>
      <c r="R293" s="286"/>
      <c r="S293" s="232">
        <v>0.95345000000000002</v>
      </c>
      <c r="T293" s="388">
        <v>0.94111389798657719</v>
      </c>
      <c r="U293" s="241" t="s">
        <v>419</v>
      </c>
      <c r="V293" s="241"/>
      <c r="W293" s="218" t="s">
        <v>1115</v>
      </c>
      <c r="X293" s="73" t="s">
        <v>249</v>
      </c>
      <c r="Y293" s="389"/>
      <c r="Z293" s="67"/>
      <c r="AA293" s="67"/>
      <c r="AB293" s="67"/>
      <c r="AC293" s="67"/>
    </row>
    <row r="294" spans="2:29" ht="14.85" customHeight="1">
      <c r="B294" s="166"/>
      <c r="C294" s="173"/>
      <c r="D294" s="212">
        <v>3</v>
      </c>
      <c r="E294" s="212" t="s">
        <v>411</v>
      </c>
      <c r="F294" s="212" t="str">
        <f t="shared" si="36"/>
        <v>3 - Upstream/Downstream Transportation and Distribution</v>
      </c>
      <c r="G294" s="241" t="s">
        <v>307</v>
      </c>
      <c r="H294" s="241" t="s">
        <v>426</v>
      </c>
      <c r="I294" s="241"/>
      <c r="J294" s="241" t="s">
        <v>308</v>
      </c>
      <c r="K294" s="241" t="s">
        <v>420</v>
      </c>
      <c r="L294" s="248" t="s">
        <v>427</v>
      </c>
      <c r="M294" s="241" t="str">
        <f t="shared" si="34"/>
        <v>Diesel - Rigid (&gt;7.5 tonnes-17 tonnes) - Average LadenHeavy duty vehicles (refrigerated)</v>
      </c>
      <c r="N294" s="284"/>
      <c r="O294" s="283"/>
      <c r="P294" s="283"/>
      <c r="Q294" s="285"/>
      <c r="R294" s="286"/>
      <c r="S294" s="232">
        <v>0.46033000000000002</v>
      </c>
      <c r="T294" s="388">
        <v>0.29861818120805367</v>
      </c>
      <c r="U294" s="241" t="s">
        <v>251</v>
      </c>
      <c r="V294" s="241"/>
      <c r="W294" s="218" t="s">
        <v>1116</v>
      </c>
      <c r="X294" s="73" t="s">
        <v>249</v>
      </c>
      <c r="Y294" s="389"/>
      <c r="Z294" s="67"/>
      <c r="AA294" s="67"/>
      <c r="AB294" s="67"/>
      <c r="AC294" s="67"/>
    </row>
    <row r="295" spans="2:29" ht="14.85" customHeight="1">
      <c r="B295" s="166"/>
      <c r="C295" s="173"/>
      <c r="D295" s="212">
        <v>3</v>
      </c>
      <c r="E295" s="212" t="s">
        <v>411</v>
      </c>
      <c r="F295" s="212" t="str">
        <f t="shared" si="36"/>
        <v>3 - Upstream/Downstream Transportation and Distribution</v>
      </c>
      <c r="G295" s="241" t="s">
        <v>307</v>
      </c>
      <c r="H295" s="241" t="s">
        <v>426</v>
      </c>
      <c r="I295" s="241"/>
      <c r="J295" s="241" t="s">
        <v>308</v>
      </c>
      <c r="K295" s="241" t="s">
        <v>420</v>
      </c>
      <c r="L295" s="248" t="s">
        <v>427</v>
      </c>
      <c r="M295" s="241" t="str">
        <f t="shared" si="34"/>
        <v>Diesel - Rigid (&gt;7.5 tonnes-17 tonnes) - Average LadenHeavy duty vehicles (refrigerated)</v>
      </c>
      <c r="N295" s="284"/>
      <c r="O295" s="283"/>
      <c r="P295" s="283"/>
      <c r="Q295" s="285"/>
      <c r="R295" s="286"/>
      <c r="S295" s="232">
        <v>0.72384000000000004</v>
      </c>
      <c r="T295" s="388">
        <v>0.7350371181208053</v>
      </c>
      <c r="U295" s="241" t="s">
        <v>264</v>
      </c>
      <c r="V295" s="241"/>
      <c r="W295" s="218" t="s">
        <v>1116</v>
      </c>
      <c r="X295" s="73" t="s">
        <v>249</v>
      </c>
      <c r="Y295" s="389"/>
      <c r="Z295" s="67"/>
      <c r="AA295" s="67"/>
      <c r="AB295" s="67"/>
      <c r="AC295" s="67"/>
    </row>
    <row r="296" spans="2:29" ht="14.85" customHeight="1">
      <c r="B296" s="166"/>
      <c r="C296" s="173"/>
      <c r="D296" s="212">
        <v>3</v>
      </c>
      <c r="E296" s="212" t="s">
        <v>411</v>
      </c>
      <c r="F296" s="212" t="str">
        <f t="shared" si="36"/>
        <v>3 - Upstream/Downstream Transportation and Distribution</v>
      </c>
      <c r="G296" s="241" t="s">
        <v>307</v>
      </c>
      <c r="H296" s="241" t="s">
        <v>426</v>
      </c>
      <c r="I296" s="241"/>
      <c r="J296" s="241" t="s">
        <v>308</v>
      </c>
      <c r="K296" s="241" t="s">
        <v>420</v>
      </c>
      <c r="L296" s="248" t="s">
        <v>427</v>
      </c>
      <c r="M296" s="241" t="str">
        <f t="shared" si="34"/>
        <v>Diesel - Rigid (&gt;7.5 tonnes-17 tonnes) - Average LadenHeavy duty vehicles (refrigerated)</v>
      </c>
      <c r="N296" s="284"/>
      <c r="O296" s="283"/>
      <c r="P296" s="283"/>
      <c r="Q296" s="285"/>
      <c r="R296" s="286"/>
      <c r="S296" s="232">
        <v>1.16492</v>
      </c>
      <c r="T296" s="388">
        <v>1.1829350402684564</v>
      </c>
      <c r="U296" s="241" t="s">
        <v>419</v>
      </c>
      <c r="V296" s="241"/>
      <c r="W296" s="218" t="s">
        <v>1116</v>
      </c>
      <c r="X296" s="73" t="s">
        <v>249</v>
      </c>
      <c r="Y296" s="389"/>
      <c r="Z296" s="67"/>
      <c r="AA296" s="67"/>
      <c r="AB296" s="67"/>
      <c r="AC296" s="67"/>
    </row>
    <row r="297" spans="2:29" ht="14.85" customHeight="1">
      <c r="B297" s="166"/>
      <c r="C297" s="173"/>
      <c r="D297" s="212">
        <v>3</v>
      </c>
      <c r="E297" s="212" t="s">
        <v>411</v>
      </c>
      <c r="F297" s="212" t="str">
        <f t="shared" si="36"/>
        <v>3 - Upstream/Downstream Transportation and Distribution</v>
      </c>
      <c r="G297" s="241" t="s">
        <v>307</v>
      </c>
      <c r="H297" s="241" t="s">
        <v>426</v>
      </c>
      <c r="I297" s="241"/>
      <c r="J297" s="241" t="s">
        <v>308</v>
      </c>
      <c r="K297" s="241" t="s">
        <v>421</v>
      </c>
      <c r="L297" s="248" t="s">
        <v>427</v>
      </c>
      <c r="M297" s="241" t="str">
        <f t="shared" si="34"/>
        <v>Diesel - Rigid (&gt;17 tonnes) - Average LadenHeavy duty vehicles (refrigerated)</v>
      </c>
      <c r="N297" s="284"/>
      <c r="O297" s="283"/>
      <c r="P297" s="283"/>
      <c r="Q297" s="285"/>
      <c r="R297" s="286"/>
      <c r="S297" s="232">
        <v>0.22142000000000003</v>
      </c>
      <c r="T297" s="388">
        <v>0.23982577315436243</v>
      </c>
      <c r="U297" s="241" t="s">
        <v>251</v>
      </c>
      <c r="V297" s="241"/>
      <c r="W297" s="218" t="s">
        <v>1117</v>
      </c>
      <c r="X297" s="73" t="s">
        <v>249</v>
      </c>
      <c r="Y297" s="389"/>
      <c r="Z297" s="67"/>
      <c r="AA297" s="67"/>
      <c r="AB297" s="67"/>
      <c r="AC297" s="67"/>
    </row>
    <row r="298" spans="2:29" ht="14.85" customHeight="1">
      <c r="B298" s="166"/>
      <c r="C298" s="173"/>
      <c r="D298" s="212">
        <v>3</v>
      </c>
      <c r="E298" s="212" t="s">
        <v>411</v>
      </c>
      <c r="F298" s="212" t="str">
        <f t="shared" si="36"/>
        <v>3 - Upstream/Downstream Transportation and Distribution</v>
      </c>
      <c r="G298" s="241" t="s">
        <v>307</v>
      </c>
      <c r="H298" s="241" t="s">
        <v>426</v>
      </c>
      <c r="I298" s="241"/>
      <c r="J298" s="241" t="s">
        <v>308</v>
      </c>
      <c r="K298" s="241" t="s">
        <v>421</v>
      </c>
      <c r="L298" s="248" t="s">
        <v>427</v>
      </c>
      <c r="M298" s="241" t="str">
        <f t="shared" si="34"/>
        <v>Diesel - Rigid (&gt;17 tonnes) - Average LadenHeavy duty vehicles (refrigerated)</v>
      </c>
      <c r="N298" s="284"/>
      <c r="O298" s="283"/>
      <c r="P298" s="283"/>
      <c r="Q298" s="285"/>
      <c r="R298" s="286"/>
      <c r="S298" s="232">
        <v>1.1827700000000001</v>
      </c>
      <c r="T298" s="388">
        <v>1.0815751073825504</v>
      </c>
      <c r="U298" s="241" t="s">
        <v>264</v>
      </c>
      <c r="V298" s="241"/>
      <c r="W298" s="218" t="s">
        <v>1117</v>
      </c>
      <c r="X298" s="73" t="s">
        <v>249</v>
      </c>
      <c r="Y298" s="389"/>
      <c r="Z298" s="67"/>
      <c r="AA298" s="67"/>
      <c r="AB298" s="67"/>
      <c r="AC298" s="67"/>
    </row>
    <row r="299" spans="2:29" ht="14.85" customHeight="1">
      <c r="B299" s="166"/>
      <c r="C299" s="173"/>
      <c r="D299" s="212">
        <v>3</v>
      </c>
      <c r="E299" s="212" t="s">
        <v>411</v>
      </c>
      <c r="F299" s="212" t="str">
        <f t="shared" si="36"/>
        <v>3 - Upstream/Downstream Transportation and Distribution</v>
      </c>
      <c r="G299" s="241" t="s">
        <v>307</v>
      </c>
      <c r="H299" s="241" t="s">
        <v>426</v>
      </c>
      <c r="I299" s="241"/>
      <c r="J299" s="241" t="s">
        <v>308</v>
      </c>
      <c r="K299" s="241" t="s">
        <v>421</v>
      </c>
      <c r="L299" s="248" t="s">
        <v>427</v>
      </c>
      <c r="M299" s="241" t="str">
        <f t="shared" si="34"/>
        <v>Diesel - Rigid (&gt;17 tonnes) - Average LadenHeavy duty vehicles (refrigerated)</v>
      </c>
      <c r="N299" s="284"/>
      <c r="O299" s="283"/>
      <c r="P299" s="283"/>
      <c r="Q299" s="285"/>
      <c r="R299" s="286"/>
      <c r="S299" s="232">
        <v>1.9034899999999999</v>
      </c>
      <c r="T299" s="388">
        <v>1.740627855033557</v>
      </c>
      <c r="U299" s="241" t="s">
        <v>419</v>
      </c>
      <c r="V299" s="241"/>
      <c r="W299" s="218" t="s">
        <v>1117</v>
      </c>
      <c r="X299" s="73" t="s">
        <v>249</v>
      </c>
      <c r="Y299" s="389"/>
      <c r="Z299" s="67"/>
      <c r="AA299" s="67"/>
      <c r="AB299" s="67"/>
      <c r="AC299" s="67"/>
    </row>
    <row r="300" spans="2:29" ht="14.85" customHeight="1">
      <c r="B300" s="166"/>
      <c r="C300" s="173"/>
      <c r="D300" s="212">
        <v>3</v>
      </c>
      <c r="E300" s="212" t="s">
        <v>411</v>
      </c>
      <c r="F300" s="212" t="str">
        <f t="shared" si="36"/>
        <v>3 - Upstream/Downstream Transportation and Distribution</v>
      </c>
      <c r="G300" s="241" t="s">
        <v>307</v>
      </c>
      <c r="H300" s="241" t="s">
        <v>426</v>
      </c>
      <c r="I300" s="241"/>
      <c r="J300" s="241" t="s">
        <v>308</v>
      </c>
      <c r="K300" s="241" t="s">
        <v>250</v>
      </c>
      <c r="L300" s="248" t="s">
        <v>427</v>
      </c>
      <c r="M300" s="241" t="str">
        <f t="shared" si="34"/>
        <v>Diesel - All rigids - Average LadenHeavy duty vehicles (refrigerated)</v>
      </c>
      <c r="N300" s="284"/>
      <c r="O300" s="283"/>
      <c r="P300" s="283"/>
      <c r="Q300" s="285"/>
      <c r="R300" s="286"/>
      <c r="S300" s="232">
        <v>0.25414999999999999</v>
      </c>
      <c r="T300" s="388">
        <v>0.25549593288590605</v>
      </c>
      <c r="U300" s="241" t="s">
        <v>251</v>
      </c>
      <c r="V300" s="241"/>
      <c r="W300" s="218" t="s">
        <v>1118</v>
      </c>
      <c r="X300" s="73" t="s">
        <v>249</v>
      </c>
      <c r="Y300" s="389"/>
      <c r="Z300" s="67"/>
      <c r="AA300" s="67"/>
      <c r="AB300" s="67"/>
      <c r="AC300" s="67"/>
    </row>
    <row r="301" spans="2:29" ht="14.85" customHeight="1">
      <c r="B301" s="166"/>
      <c r="C301" s="173"/>
      <c r="D301" s="212">
        <v>3</v>
      </c>
      <c r="E301" s="212" t="s">
        <v>411</v>
      </c>
      <c r="F301" s="212" t="str">
        <f t="shared" si="36"/>
        <v>3 - Upstream/Downstream Transportation and Distribution</v>
      </c>
      <c r="G301" s="241" t="s">
        <v>307</v>
      </c>
      <c r="H301" s="241" t="s">
        <v>426</v>
      </c>
      <c r="I301" s="241"/>
      <c r="J301" s="241" t="s">
        <v>308</v>
      </c>
      <c r="K301" s="241" t="s">
        <v>250</v>
      </c>
      <c r="L301" s="248" t="s">
        <v>427</v>
      </c>
      <c r="M301" s="241" t="str">
        <f t="shared" si="34"/>
        <v>Diesel - All rigids - Average LadenHeavy duty vehicles (refrigerated)</v>
      </c>
      <c r="N301" s="284"/>
      <c r="O301" s="283"/>
      <c r="P301" s="283"/>
      <c r="Q301" s="285"/>
      <c r="R301" s="286"/>
      <c r="S301" s="232">
        <v>1.0008999999999999</v>
      </c>
      <c r="T301" s="388">
        <v>0.93244412483221484</v>
      </c>
      <c r="U301" s="241" t="s">
        <v>264</v>
      </c>
      <c r="V301" s="241"/>
      <c r="W301" s="218" t="s">
        <v>1118</v>
      </c>
      <c r="X301" s="73" t="s">
        <v>249</v>
      </c>
      <c r="Y301" s="389"/>
      <c r="Z301" s="67"/>
      <c r="AA301" s="67"/>
      <c r="AB301" s="67"/>
      <c r="AC301" s="67"/>
    </row>
    <row r="302" spans="2:29" ht="14.85" customHeight="1">
      <c r="B302" s="166"/>
      <c r="C302" s="173"/>
      <c r="D302" s="212">
        <v>3</v>
      </c>
      <c r="E302" s="212" t="s">
        <v>411</v>
      </c>
      <c r="F302" s="212" t="str">
        <f t="shared" si="36"/>
        <v>3 - Upstream/Downstream Transportation and Distribution</v>
      </c>
      <c r="G302" s="241" t="s">
        <v>307</v>
      </c>
      <c r="H302" s="241" t="s">
        <v>426</v>
      </c>
      <c r="I302" s="241"/>
      <c r="J302" s="241" t="s">
        <v>308</v>
      </c>
      <c r="K302" s="241" t="s">
        <v>250</v>
      </c>
      <c r="L302" s="248" t="s">
        <v>427</v>
      </c>
      <c r="M302" s="241" t="str">
        <f t="shared" si="34"/>
        <v>Diesel - All rigids - Average LadenHeavy duty vehicles (refrigerated)</v>
      </c>
      <c r="N302" s="284"/>
      <c r="O302" s="283"/>
      <c r="P302" s="283"/>
      <c r="Q302" s="285"/>
      <c r="R302" s="286"/>
      <c r="S302" s="232">
        <v>1.6107899999999999</v>
      </c>
      <c r="T302" s="388">
        <v>1.5006128362416107</v>
      </c>
      <c r="U302" s="241" t="s">
        <v>419</v>
      </c>
      <c r="V302" s="241"/>
      <c r="W302" s="218" t="s">
        <v>1118</v>
      </c>
      <c r="X302" s="73" t="s">
        <v>249</v>
      </c>
      <c r="Y302" s="389"/>
      <c r="Z302" s="67"/>
      <c r="AA302" s="67"/>
      <c r="AB302" s="67"/>
      <c r="AC302" s="67"/>
    </row>
    <row r="303" spans="2:29" ht="14.85" customHeight="1">
      <c r="B303" s="166"/>
      <c r="C303" s="173"/>
      <c r="D303" s="212">
        <v>3</v>
      </c>
      <c r="E303" s="212" t="s">
        <v>411</v>
      </c>
      <c r="F303" s="212" t="str">
        <f t="shared" si="36"/>
        <v>3 - Upstream/Downstream Transportation and Distribution</v>
      </c>
      <c r="G303" s="241" t="s">
        <v>307</v>
      </c>
      <c r="H303" s="241" t="s">
        <v>426</v>
      </c>
      <c r="I303" s="241"/>
      <c r="J303" s="241" t="s">
        <v>308</v>
      </c>
      <c r="K303" s="241" t="s">
        <v>422</v>
      </c>
      <c r="L303" s="248" t="s">
        <v>427</v>
      </c>
      <c r="M303" s="241" t="str">
        <f t="shared" si="34"/>
        <v>Diesel - Articulated (&gt;3.5 - 33t) - Average LadenHeavy duty vehicles (refrigerated)</v>
      </c>
      <c r="N303" s="284"/>
      <c r="O303" s="283"/>
      <c r="P303" s="283"/>
      <c r="Q303" s="285"/>
      <c r="R303" s="286"/>
      <c r="S303" s="232">
        <v>0.16209999999999999</v>
      </c>
      <c r="T303" s="388">
        <v>0.13383542013422819</v>
      </c>
      <c r="U303" s="241" t="s">
        <v>251</v>
      </c>
      <c r="V303" s="241"/>
      <c r="W303" s="218" t="s">
        <v>1119</v>
      </c>
      <c r="X303" s="73" t="s">
        <v>249</v>
      </c>
      <c r="Y303" s="389"/>
      <c r="Z303" s="67"/>
      <c r="AA303" s="67"/>
      <c r="AB303" s="67"/>
      <c r="AC303" s="67"/>
    </row>
    <row r="304" spans="2:29" ht="14.85" customHeight="1">
      <c r="B304" s="166"/>
      <c r="C304" s="173"/>
      <c r="D304" s="212">
        <v>3</v>
      </c>
      <c r="E304" s="212" t="s">
        <v>411</v>
      </c>
      <c r="F304" s="212" t="str">
        <f t="shared" si="36"/>
        <v>3 - Upstream/Downstream Transportation and Distribution</v>
      </c>
      <c r="G304" s="241" t="s">
        <v>307</v>
      </c>
      <c r="H304" s="241" t="s">
        <v>426</v>
      </c>
      <c r="I304" s="241"/>
      <c r="J304" s="241" t="s">
        <v>308</v>
      </c>
      <c r="K304" s="241" t="s">
        <v>422</v>
      </c>
      <c r="L304" s="248" t="s">
        <v>427</v>
      </c>
      <c r="M304" s="241" t="str">
        <f t="shared" si="34"/>
        <v>Diesel - Articulated (&gt;3.5 - 33t) - Average LadenHeavy duty vehicles (refrigerated)</v>
      </c>
      <c r="N304" s="284"/>
      <c r="O304" s="283"/>
      <c r="P304" s="283"/>
      <c r="Q304" s="285"/>
      <c r="R304" s="286"/>
      <c r="S304" s="232">
        <v>0.90338000000000007</v>
      </c>
      <c r="T304" s="388">
        <v>0.88672826711409392</v>
      </c>
      <c r="U304" s="241" t="s">
        <v>264</v>
      </c>
      <c r="V304" s="241"/>
      <c r="W304" s="218" t="s">
        <v>1119</v>
      </c>
      <c r="X304" s="73" t="s">
        <v>249</v>
      </c>
      <c r="Y304" s="389"/>
      <c r="Z304" s="67"/>
      <c r="AA304" s="67"/>
      <c r="AB304" s="67"/>
      <c r="AC304" s="67"/>
    </row>
    <row r="305" spans="2:29" ht="14.85" customHeight="1">
      <c r="B305" s="166"/>
      <c r="C305" s="173"/>
      <c r="D305" s="212">
        <v>3</v>
      </c>
      <c r="E305" s="212" t="s">
        <v>411</v>
      </c>
      <c r="F305" s="212" t="str">
        <f t="shared" si="36"/>
        <v>3 - Upstream/Downstream Transportation and Distribution</v>
      </c>
      <c r="G305" s="241" t="s">
        <v>307</v>
      </c>
      <c r="H305" s="241" t="s">
        <v>426</v>
      </c>
      <c r="I305" s="241"/>
      <c r="J305" s="241" t="s">
        <v>308</v>
      </c>
      <c r="K305" s="241" t="s">
        <v>422</v>
      </c>
      <c r="L305" s="248" t="s">
        <v>427</v>
      </c>
      <c r="M305" s="241" t="str">
        <f t="shared" si="34"/>
        <v>Diesel - Articulated (&gt;3.5 - 33t) - Average LadenHeavy duty vehicles (refrigerated)</v>
      </c>
      <c r="N305" s="284"/>
      <c r="O305" s="283"/>
      <c r="P305" s="283"/>
      <c r="Q305" s="285"/>
      <c r="R305" s="286"/>
      <c r="S305" s="232">
        <v>1.45384</v>
      </c>
      <c r="T305" s="388">
        <v>1.4270396617449663</v>
      </c>
      <c r="U305" s="241" t="s">
        <v>419</v>
      </c>
      <c r="V305" s="241"/>
      <c r="W305" s="218" t="s">
        <v>1119</v>
      </c>
      <c r="X305" s="73" t="s">
        <v>249</v>
      </c>
      <c r="Y305" s="389"/>
      <c r="Z305" s="67"/>
      <c r="AA305" s="67"/>
      <c r="AB305" s="67"/>
      <c r="AC305" s="67"/>
    </row>
    <row r="306" spans="2:29" ht="14.85" customHeight="1">
      <c r="B306" s="166"/>
      <c r="C306" s="173"/>
      <c r="D306" s="212">
        <v>3</v>
      </c>
      <c r="E306" s="212" t="s">
        <v>411</v>
      </c>
      <c r="F306" s="212" t="str">
        <f t="shared" si="36"/>
        <v>3 - Upstream/Downstream Transportation and Distribution</v>
      </c>
      <c r="G306" s="241" t="s">
        <v>307</v>
      </c>
      <c r="H306" s="241" t="s">
        <v>426</v>
      </c>
      <c r="I306" s="241"/>
      <c r="J306" s="241" t="s">
        <v>308</v>
      </c>
      <c r="K306" s="241" t="s">
        <v>423</v>
      </c>
      <c r="L306" s="248" t="s">
        <v>427</v>
      </c>
      <c r="M306" s="241" t="str">
        <f t="shared" si="34"/>
        <v>Diesel - Articulated (&gt;33t) - Average LadenHeavy duty vehicles (refrigerated)</v>
      </c>
      <c r="N306" s="284"/>
      <c r="O306" s="283"/>
      <c r="P306" s="283"/>
      <c r="Q306" s="285"/>
      <c r="R306" s="286"/>
      <c r="S306" s="232">
        <v>9.2889999999999986E-2</v>
      </c>
      <c r="T306" s="388">
        <v>0.10711408590604027</v>
      </c>
      <c r="U306" s="241" t="s">
        <v>251</v>
      </c>
      <c r="V306" s="241"/>
      <c r="W306" s="218" t="s">
        <v>1120</v>
      </c>
      <c r="X306" s="73" t="s">
        <v>249</v>
      </c>
      <c r="Y306" s="389"/>
      <c r="Z306" s="67"/>
      <c r="AA306" s="67"/>
      <c r="AB306" s="67"/>
      <c r="AC306" s="67"/>
    </row>
    <row r="307" spans="2:29" ht="14.85" customHeight="1">
      <c r="B307" s="166"/>
      <c r="C307" s="173"/>
      <c r="D307" s="212">
        <v>3</v>
      </c>
      <c r="E307" s="212" t="s">
        <v>411</v>
      </c>
      <c r="F307" s="212" t="str">
        <f t="shared" si="36"/>
        <v>3 - Upstream/Downstream Transportation and Distribution</v>
      </c>
      <c r="G307" s="241" t="s">
        <v>307</v>
      </c>
      <c r="H307" s="241" t="s">
        <v>426</v>
      </c>
      <c r="I307" s="241"/>
      <c r="J307" s="241" t="s">
        <v>308</v>
      </c>
      <c r="K307" s="241" t="s">
        <v>423</v>
      </c>
      <c r="L307" s="248" t="s">
        <v>427</v>
      </c>
      <c r="M307" s="241" t="str">
        <f t="shared" si="34"/>
        <v>Diesel - Articulated (&gt;33t) - Average LadenHeavy duty vehicles (refrigerated)</v>
      </c>
      <c r="N307" s="284"/>
      <c r="O307" s="283"/>
      <c r="P307" s="283"/>
      <c r="Q307" s="285"/>
      <c r="R307" s="286"/>
      <c r="S307" s="232">
        <v>1.0756300000000001</v>
      </c>
      <c r="T307" s="388">
        <v>0.96987496241610738</v>
      </c>
      <c r="U307" s="241" t="s">
        <v>264</v>
      </c>
      <c r="V307" s="241"/>
      <c r="W307" s="218" t="s">
        <v>1120</v>
      </c>
      <c r="X307" s="73" t="s">
        <v>249</v>
      </c>
      <c r="Y307" s="389"/>
      <c r="Z307" s="67"/>
      <c r="AA307" s="67"/>
      <c r="AB307" s="67"/>
      <c r="AC307" s="67"/>
    </row>
    <row r="308" spans="2:29" ht="14.85" customHeight="1">
      <c r="B308" s="166"/>
      <c r="C308" s="173"/>
      <c r="D308" s="212">
        <v>3</v>
      </c>
      <c r="E308" s="212" t="s">
        <v>411</v>
      </c>
      <c r="F308" s="212" t="str">
        <f t="shared" si="36"/>
        <v>3 - Upstream/Downstream Transportation and Distribution</v>
      </c>
      <c r="G308" s="241" t="s">
        <v>307</v>
      </c>
      <c r="H308" s="241" t="s">
        <v>426</v>
      </c>
      <c r="I308" s="241"/>
      <c r="J308" s="241" t="s">
        <v>308</v>
      </c>
      <c r="K308" s="241" t="s">
        <v>423</v>
      </c>
      <c r="L308" s="248" t="s">
        <v>427</v>
      </c>
      <c r="M308" s="241" t="str">
        <f t="shared" si="34"/>
        <v>Diesel - Articulated (&gt;33t) - Average LadenHeavy duty vehicles (refrigerated)</v>
      </c>
      <c r="N308" s="284"/>
      <c r="O308" s="283"/>
      <c r="P308" s="283"/>
      <c r="Q308" s="285"/>
      <c r="R308" s="286"/>
      <c r="S308" s="232">
        <v>1.73105</v>
      </c>
      <c r="T308" s="388">
        <v>1.5608425906040269</v>
      </c>
      <c r="U308" s="241" t="s">
        <v>419</v>
      </c>
      <c r="V308" s="241"/>
      <c r="W308" s="218" t="s">
        <v>1120</v>
      </c>
      <c r="X308" s="73" t="s">
        <v>249</v>
      </c>
      <c r="Y308" s="389"/>
      <c r="Z308" s="67"/>
      <c r="AA308" s="67"/>
      <c r="AB308" s="67"/>
      <c r="AC308" s="67"/>
    </row>
    <row r="309" spans="2:29" ht="14.85" customHeight="1">
      <c r="B309" s="166"/>
      <c r="C309" s="173"/>
      <c r="D309" s="212">
        <v>3</v>
      </c>
      <c r="E309" s="212" t="s">
        <v>411</v>
      </c>
      <c r="F309" s="212" t="str">
        <f t="shared" si="36"/>
        <v>3 - Upstream/Downstream Transportation and Distribution</v>
      </c>
      <c r="G309" s="241" t="s">
        <v>307</v>
      </c>
      <c r="H309" s="241" t="s">
        <v>426</v>
      </c>
      <c r="I309" s="241"/>
      <c r="J309" s="241" t="s">
        <v>308</v>
      </c>
      <c r="K309" s="241" t="s">
        <v>424</v>
      </c>
      <c r="L309" s="248" t="s">
        <v>427</v>
      </c>
      <c r="M309" s="241" t="str">
        <f t="shared" si="34"/>
        <v>Diesel - All artics - Average LadenHeavy duty vehicles (refrigerated)</v>
      </c>
      <c r="N309" s="284"/>
      <c r="O309" s="283"/>
      <c r="P309" s="283"/>
      <c r="Q309" s="285"/>
      <c r="R309" s="286"/>
      <c r="S309" s="232">
        <v>9.4289999999999999E-2</v>
      </c>
      <c r="T309" s="388">
        <v>0.10774297852348994</v>
      </c>
      <c r="U309" s="241" t="s">
        <v>251</v>
      </c>
      <c r="V309" s="241"/>
      <c r="W309" s="218" t="s">
        <v>1121</v>
      </c>
      <c r="X309" s="73" t="s">
        <v>249</v>
      </c>
      <c r="Y309" s="389"/>
      <c r="Z309" s="67"/>
      <c r="AA309" s="67"/>
      <c r="AB309" s="67"/>
      <c r="AC309" s="67"/>
    </row>
    <row r="310" spans="2:29" ht="14.85" customHeight="1">
      <c r="B310" s="166"/>
      <c r="C310" s="173"/>
      <c r="D310" s="212">
        <v>3</v>
      </c>
      <c r="E310" s="212" t="s">
        <v>411</v>
      </c>
      <c r="F310" s="212" t="str">
        <f t="shared" si="36"/>
        <v>3 - Upstream/Downstream Transportation and Distribution</v>
      </c>
      <c r="G310" s="241" t="s">
        <v>307</v>
      </c>
      <c r="H310" s="241" t="s">
        <v>426</v>
      </c>
      <c r="I310" s="241"/>
      <c r="J310" s="241" t="s">
        <v>308</v>
      </c>
      <c r="K310" s="241" t="s">
        <v>424</v>
      </c>
      <c r="L310" s="248" t="s">
        <v>427</v>
      </c>
      <c r="M310" s="241" t="str">
        <f t="shared" si="34"/>
        <v>Diesel - All artics - Average LadenHeavy duty vehicles (refrigerated)</v>
      </c>
      <c r="N310" s="284"/>
      <c r="O310" s="283"/>
      <c r="P310" s="283"/>
      <c r="Q310" s="285"/>
      <c r="R310" s="286"/>
      <c r="S310" s="232">
        <v>1.0685399999999998</v>
      </c>
      <c r="T310" s="388">
        <v>0.96633714362416112</v>
      </c>
      <c r="U310" s="241" t="s">
        <v>264</v>
      </c>
      <c r="V310" s="241"/>
      <c r="W310" s="218" t="s">
        <v>1121</v>
      </c>
      <c r="X310" s="73" t="s">
        <v>249</v>
      </c>
      <c r="Y310" s="389"/>
      <c r="Z310" s="67"/>
      <c r="AA310" s="67"/>
      <c r="AB310" s="67"/>
      <c r="AC310" s="67"/>
    </row>
    <row r="311" spans="2:29" ht="14.85" customHeight="1">
      <c r="B311" s="166"/>
      <c r="C311" s="173"/>
      <c r="D311" s="212">
        <v>3</v>
      </c>
      <c r="E311" s="212" t="s">
        <v>411</v>
      </c>
      <c r="F311" s="212" t="str">
        <f t="shared" si="36"/>
        <v>3 - Upstream/Downstream Transportation and Distribution</v>
      </c>
      <c r="G311" s="241" t="s">
        <v>307</v>
      </c>
      <c r="H311" s="241" t="s">
        <v>426</v>
      </c>
      <c r="I311" s="241"/>
      <c r="J311" s="241" t="s">
        <v>308</v>
      </c>
      <c r="K311" s="241" t="s">
        <v>424</v>
      </c>
      <c r="L311" s="248" t="s">
        <v>427</v>
      </c>
      <c r="M311" s="241" t="str">
        <f t="shared" si="34"/>
        <v>Diesel - All artics - Average LadenHeavy duty vehicles (refrigerated)</v>
      </c>
      <c r="N311" s="284"/>
      <c r="O311" s="283"/>
      <c r="P311" s="283"/>
      <c r="Q311" s="285"/>
      <c r="R311" s="286"/>
      <c r="S311" s="232">
        <v>1.7196399999999998</v>
      </c>
      <c r="T311" s="388">
        <v>1.5551614161073826</v>
      </c>
      <c r="U311" s="241" t="s">
        <v>419</v>
      </c>
      <c r="V311" s="241"/>
      <c r="W311" s="218" t="s">
        <v>1121</v>
      </c>
      <c r="X311" s="73" t="s">
        <v>249</v>
      </c>
      <c r="Y311" s="389"/>
      <c r="Z311" s="67"/>
      <c r="AA311" s="67"/>
      <c r="AB311" s="67"/>
      <c r="AC311" s="67"/>
    </row>
    <row r="312" spans="2:29" ht="14.85" customHeight="1">
      <c r="B312" s="166"/>
      <c r="C312" s="173"/>
      <c r="D312" s="212">
        <v>3</v>
      </c>
      <c r="E312" s="212" t="s">
        <v>411</v>
      </c>
      <c r="F312" s="212" t="str">
        <f t="shared" si="36"/>
        <v>3 - Upstream/Downstream Transportation and Distribution</v>
      </c>
      <c r="G312" s="241" t="s">
        <v>307</v>
      </c>
      <c r="H312" s="241" t="s">
        <v>426</v>
      </c>
      <c r="I312" s="241"/>
      <c r="J312" s="241" t="s">
        <v>308</v>
      </c>
      <c r="K312" s="241" t="s">
        <v>425</v>
      </c>
      <c r="L312" s="248" t="s">
        <v>427</v>
      </c>
      <c r="M312" s="241" t="str">
        <f t="shared" si="34"/>
        <v>Diesel - All HGVs - Average LadenHeavy duty vehicles (refrigerated)</v>
      </c>
      <c r="N312" s="284"/>
      <c r="O312" s="283"/>
      <c r="P312" s="283"/>
      <c r="Q312" s="285"/>
      <c r="R312" s="286"/>
      <c r="S312" s="232">
        <v>0.12418000000000001</v>
      </c>
      <c r="T312" s="388">
        <v>0.13909092348993288</v>
      </c>
      <c r="U312" s="241" t="s">
        <v>251</v>
      </c>
      <c r="V312" s="241"/>
      <c r="W312" s="218" t="s">
        <v>1122</v>
      </c>
      <c r="X312" s="73" t="s">
        <v>249</v>
      </c>
      <c r="Y312" s="389"/>
      <c r="Z312" s="67"/>
      <c r="AA312" s="67"/>
      <c r="AB312" s="67"/>
      <c r="AC312" s="67"/>
    </row>
    <row r="313" spans="2:29" ht="14.85" customHeight="1">
      <c r="B313" s="166"/>
      <c r="C313" s="173"/>
      <c r="D313" s="212">
        <v>3</v>
      </c>
      <c r="E313" s="212" t="s">
        <v>411</v>
      </c>
      <c r="F313" s="212" t="str">
        <f t="shared" si="36"/>
        <v>3 - Upstream/Downstream Transportation and Distribution</v>
      </c>
      <c r="G313" s="241" t="s">
        <v>307</v>
      </c>
      <c r="H313" s="241" t="s">
        <v>426</v>
      </c>
      <c r="I313" s="241"/>
      <c r="J313" s="241" t="s">
        <v>308</v>
      </c>
      <c r="K313" s="241" t="s">
        <v>425</v>
      </c>
      <c r="L313" s="248" t="s">
        <v>427</v>
      </c>
      <c r="M313" s="241" t="str">
        <f t="shared" si="34"/>
        <v>Diesel - All HGVs - Average LadenHeavy duty vehicles (refrigerated)</v>
      </c>
      <c r="N313" s="284"/>
      <c r="O313" s="283"/>
      <c r="P313" s="283"/>
      <c r="Q313" s="285"/>
      <c r="R313" s="286"/>
      <c r="S313" s="232">
        <v>1.0420799999999999</v>
      </c>
      <c r="T313" s="388">
        <v>0.95260847785234892</v>
      </c>
      <c r="U313" s="241" t="s">
        <v>264</v>
      </c>
      <c r="V313" s="241"/>
      <c r="W313" s="218" t="s">
        <v>1122</v>
      </c>
      <c r="X313" s="73" t="s">
        <v>249</v>
      </c>
      <c r="Y313" s="389"/>
      <c r="Z313" s="67"/>
      <c r="AA313" s="67"/>
      <c r="AB313" s="67"/>
      <c r="AC313" s="67"/>
    </row>
    <row r="314" spans="2:29" ht="14.85" customHeight="1">
      <c r="B314" s="166"/>
      <c r="C314" s="173"/>
      <c r="D314" s="212">
        <v>3</v>
      </c>
      <c r="E314" s="212" t="s">
        <v>411</v>
      </c>
      <c r="F314" s="212" t="str">
        <f t="shared" si="36"/>
        <v>3 - Upstream/Downstream Transportation and Distribution</v>
      </c>
      <c r="G314" s="241" t="s">
        <v>307</v>
      </c>
      <c r="H314" s="241" t="s">
        <v>426</v>
      </c>
      <c r="I314" s="241"/>
      <c r="J314" s="241" t="s">
        <v>308</v>
      </c>
      <c r="K314" s="241" t="s">
        <v>425</v>
      </c>
      <c r="L314" s="248" t="s">
        <v>427</v>
      </c>
      <c r="M314" s="241" t="str">
        <f t="shared" si="34"/>
        <v>Diesel - All HGVs - Average LadenHeavy duty vehicles (refrigerated)</v>
      </c>
      <c r="N314" s="284"/>
      <c r="O314" s="283"/>
      <c r="P314" s="283"/>
      <c r="Q314" s="285"/>
      <c r="R314" s="286"/>
      <c r="S314" s="232">
        <v>1.67706</v>
      </c>
      <c r="T314" s="388">
        <v>1.5330734389261746</v>
      </c>
      <c r="U314" s="241" t="s">
        <v>419</v>
      </c>
      <c r="V314" s="241"/>
      <c r="W314" s="218" t="s">
        <v>1122</v>
      </c>
      <c r="X314" s="73" t="s">
        <v>249</v>
      </c>
      <c r="Y314" s="389"/>
      <c r="Z314" s="67"/>
      <c r="AA314" s="67"/>
      <c r="AB314" s="67"/>
      <c r="AC314" s="67"/>
    </row>
    <row r="315" spans="2:29" ht="14.85" customHeight="1">
      <c r="B315" s="166"/>
      <c r="C315" s="173"/>
      <c r="D315" s="212">
        <v>3</v>
      </c>
      <c r="E315" s="212" t="s">
        <v>411</v>
      </c>
      <c r="F315" s="212" t="str">
        <f t="shared" si="36"/>
        <v>3 - Upstream/Downstream Transportation and Distribution</v>
      </c>
      <c r="G315" s="241" t="s">
        <v>307</v>
      </c>
      <c r="H315" s="241" t="s">
        <v>257</v>
      </c>
      <c r="I315" s="241"/>
      <c r="J315" s="241" t="s">
        <v>308</v>
      </c>
      <c r="K315" s="241" t="s">
        <v>248</v>
      </c>
      <c r="L315" s="241" t="s">
        <v>257</v>
      </c>
      <c r="M315" s="241" t="str">
        <f t="shared" ref="M315" si="37">K315&amp;L315</f>
        <v>Marine Gas OilSea Tanker</v>
      </c>
      <c r="N315" s="283"/>
      <c r="O315" s="283"/>
      <c r="P315" s="283"/>
      <c r="Q315" s="283"/>
      <c r="R315" s="283"/>
      <c r="S315" s="232">
        <v>0.25835000000000002</v>
      </c>
      <c r="T315" s="388">
        <v>0.26</v>
      </c>
      <c r="U315" s="241" t="s">
        <v>204</v>
      </c>
      <c r="V315" s="235" t="s">
        <v>359</v>
      </c>
      <c r="W315" s="218" t="s">
        <v>1099</v>
      </c>
      <c r="X315" s="73" t="s">
        <v>246</v>
      </c>
      <c r="Y315" s="389"/>
      <c r="Z315" s="67"/>
      <c r="AA315" s="67"/>
      <c r="AB315" s="67"/>
      <c r="AC315" s="67"/>
    </row>
    <row r="316" spans="2:29" ht="14.85" customHeight="1">
      <c r="B316" s="166"/>
      <c r="C316" s="173"/>
      <c r="D316" s="212">
        <v>3</v>
      </c>
      <c r="E316" s="212" t="s">
        <v>411</v>
      </c>
      <c r="F316" s="212" t="str">
        <f t="shared" si="33"/>
        <v>3 - Upstream/Downstream Transportation and Distribution</v>
      </c>
      <c r="G316" s="241" t="s">
        <v>307</v>
      </c>
      <c r="H316" s="241" t="s">
        <v>257</v>
      </c>
      <c r="I316" s="241"/>
      <c r="J316" s="241" t="s">
        <v>308</v>
      </c>
      <c r="K316" s="241" t="s">
        <v>248</v>
      </c>
      <c r="L316" s="241" t="s">
        <v>257</v>
      </c>
      <c r="M316" s="241" t="str">
        <f t="shared" si="34"/>
        <v>Marine Gas OilSea Tanker</v>
      </c>
      <c r="N316" s="284"/>
      <c r="O316" s="283"/>
      <c r="P316" s="283"/>
      <c r="Q316" s="285"/>
      <c r="R316" s="286"/>
      <c r="S316" s="232">
        <v>3249.99</v>
      </c>
      <c r="T316" s="388">
        <v>3245.3</v>
      </c>
      <c r="U316" s="241" t="s">
        <v>281</v>
      </c>
      <c r="V316" s="241"/>
      <c r="W316" s="218" t="s">
        <v>1099</v>
      </c>
      <c r="X316" s="73" t="s">
        <v>246</v>
      </c>
      <c r="Y316" s="389"/>
      <c r="Z316" s="67"/>
      <c r="AA316" s="67"/>
      <c r="AB316" s="67"/>
      <c r="AC316" s="67"/>
    </row>
    <row r="317" spans="2:29" ht="14.85" customHeight="1">
      <c r="B317" s="166"/>
      <c r="C317" s="173"/>
      <c r="D317" s="212">
        <v>3</v>
      </c>
      <c r="E317" s="212" t="s">
        <v>411</v>
      </c>
      <c r="F317" s="212" t="str">
        <f t="shared" si="33"/>
        <v>3 - Upstream/Downstream Transportation and Distribution</v>
      </c>
      <c r="G317" s="241" t="s">
        <v>307</v>
      </c>
      <c r="H317" s="241" t="s">
        <v>257</v>
      </c>
      <c r="I317" s="241"/>
      <c r="J317" s="241" t="s">
        <v>308</v>
      </c>
      <c r="K317" s="241" t="s">
        <v>248</v>
      </c>
      <c r="L317" s="241" t="s">
        <v>257</v>
      </c>
      <c r="M317" s="241" t="str">
        <f t="shared" si="34"/>
        <v>Marine Gas OilSea Tanker</v>
      </c>
      <c r="N317" s="284"/>
      <c r="O317" s="283"/>
      <c r="P317" s="283"/>
      <c r="Q317" s="285"/>
      <c r="R317" s="286"/>
      <c r="S317" s="232">
        <v>2.7753899999999998</v>
      </c>
      <c r="T317" s="388">
        <v>2.77</v>
      </c>
      <c r="U317" s="241" t="s">
        <v>334</v>
      </c>
      <c r="V317" s="241"/>
      <c r="W317" s="218" t="s">
        <v>1099</v>
      </c>
      <c r="X317" s="73" t="s">
        <v>246</v>
      </c>
      <c r="Y317" s="389"/>
      <c r="Z317" s="67"/>
      <c r="AA317" s="67"/>
      <c r="AB317" s="67"/>
      <c r="AC317" s="67"/>
    </row>
    <row r="318" spans="2:29" ht="14.85" customHeight="1">
      <c r="B318" s="166"/>
      <c r="C318" s="173"/>
      <c r="D318" s="212">
        <v>3</v>
      </c>
      <c r="E318" s="212" t="s">
        <v>411</v>
      </c>
      <c r="F318" s="212" t="str">
        <f t="shared" si="33"/>
        <v>3 - Upstream/Downstream Transportation and Distribution</v>
      </c>
      <c r="G318" s="241" t="s">
        <v>307</v>
      </c>
      <c r="H318" s="241" t="s">
        <v>257</v>
      </c>
      <c r="I318" s="241"/>
      <c r="J318" s="241" t="s">
        <v>308</v>
      </c>
      <c r="K318" s="241" t="s">
        <v>248</v>
      </c>
      <c r="L318" s="241" t="s">
        <v>257</v>
      </c>
      <c r="M318" s="241" t="str">
        <f t="shared" ref="M318:M380" si="38">K318&amp;L318</f>
        <v>Marine Gas OilSea Tanker</v>
      </c>
      <c r="N318" s="284"/>
      <c r="O318" s="283"/>
      <c r="P318" s="283"/>
      <c r="Q318" s="285"/>
      <c r="R318" s="286"/>
      <c r="S318" s="232">
        <v>0.25835000000000002</v>
      </c>
      <c r="T318" s="388">
        <v>0.26</v>
      </c>
      <c r="U318" s="241" t="s">
        <v>335</v>
      </c>
      <c r="V318" s="241"/>
      <c r="W318" s="218" t="s">
        <v>1099</v>
      </c>
      <c r="X318" s="73" t="s">
        <v>246</v>
      </c>
      <c r="Y318" s="389"/>
      <c r="Z318" s="67"/>
      <c r="AA318" s="67"/>
      <c r="AB318" s="67"/>
      <c r="AC318" s="67"/>
    </row>
    <row r="319" spans="2:29" ht="14.85" customHeight="1">
      <c r="B319" s="166"/>
      <c r="C319" s="173"/>
      <c r="D319" s="212">
        <v>3</v>
      </c>
      <c r="E319" s="212" t="s">
        <v>411</v>
      </c>
      <c r="F319" s="212" t="str">
        <f t="shared" si="33"/>
        <v>3 - Upstream/Downstream Transportation and Distribution</v>
      </c>
      <c r="G319" s="241" t="s">
        <v>307</v>
      </c>
      <c r="H319" s="241" t="s">
        <v>257</v>
      </c>
      <c r="I319" s="241"/>
      <c r="J319" s="241" t="s">
        <v>308</v>
      </c>
      <c r="K319" s="241" t="s">
        <v>258</v>
      </c>
      <c r="L319" s="241" t="s">
        <v>257</v>
      </c>
      <c r="M319" s="241" t="str">
        <f t="shared" si="38"/>
        <v>Crude tanker - AverageSea Tanker</v>
      </c>
      <c r="N319" s="284"/>
      <c r="O319" s="283"/>
      <c r="P319" s="283"/>
      <c r="Q319" s="285"/>
      <c r="R319" s="286"/>
      <c r="S319" s="232">
        <v>4.5719999999999997E-3</v>
      </c>
      <c r="T319" s="388">
        <v>4.5653649664429531E-3</v>
      </c>
      <c r="U319" s="241" t="s">
        <v>251</v>
      </c>
      <c r="V319" s="241"/>
      <c r="W319" s="218" t="s">
        <v>1123</v>
      </c>
      <c r="X319" s="73" t="s">
        <v>249</v>
      </c>
      <c r="Y319" s="389"/>
      <c r="Z319" s="67"/>
      <c r="AA319" s="67"/>
      <c r="AB319" s="67"/>
      <c r="AC319" s="67"/>
    </row>
    <row r="320" spans="2:29" ht="14.85" customHeight="1">
      <c r="B320" s="166"/>
      <c r="C320" s="173"/>
      <c r="D320" s="212">
        <v>3</v>
      </c>
      <c r="E320" s="212" t="s">
        <v>411</v>
      </c>
      <c r="F320" s="212" t="str">
        <f t="shared" si="33"/>
        <v>3 - Upstream/Downstream Transportation and Distribution</v>
      </c>
      <c r="G320" s="241" t="s">
        <v>307</v>
      </c>
      <c r="H320" s="241" t="s">
        <v>257</v>
      </c>
      <c r="I320" s="241"/>
      <c r="J320" s="241" t="s">
        <v>308</v>
      </c>
      <c r="K320" s="241" t="s">
        <v>428</v>
      </c>
      <c r="L320" s="241" t="s">
        <v>257</v>
      </c>
      <c r="M320" s="241" t="str">
        <f t="shared" si="38"/>
        <v>Products tanker - AverageSea Tanker</v>
      </c>
      <c r="N320" s="284"/>
      <c r="O320" s="283"/>
      <c r="P320" s="283"/>
      <c r="Q320" s="285"/>
      <c r="R320" s="286"/>
      <c r="S320" s="232">
        <v>9.0340000000000004E-3</v>
      </c>
      <c r="T320" s="388">
        <v>9.0209606711409394E-3</v>
      </c>
      <c r="U320" s="241" t="s">
        <v>251</v>
      </c>
      <c r="V320" s="241"/>
      <c r="W320" s="218" t="s">
        <v>1124</v>
      </c>
      <c r="X320" s="73" t="s">
        <v>249</v>
      </c>
      <c r="Y320" s="389"/>
      <c r="Z320" s="67"/>
      <c r="AA320" s="67"/>
      <c r="AB320" s="67"/>
      <c r="AC320" s="67"/>
    </row>
    <row r="321" spans="2:29" ht="14.85" customHeight="1">
      <c r="B321" s="166"/>
      <c r="C321" s="173"/>
      <c r="D321" s="212">
        <v>3</v>
      </c>
      <c r="E321" s="212" t="s">
        <v>411</v>
      </c>
      <c r="F321" s="212" t="str">
        <f t="shared" si="33"/>
        <v>3 - Upstream/Downstream Transportation and Distribution</v>
      </c>
      <c r="G321" s="241" t="s">
        <v>307</v>
      </c>
      <c r="H321" s="241" t="s">
        <v>257</v>
      </c>
      <c r="I321" s="241"/>
      <c r="J321" s="241" t="s">
        <v>308</v>
      </c>
      <c r="K321" s="241" t="s">
        <v>429</v>
      </c>
      <c r="L321" s="241" t="s">
        <v>257</v>
      </c>
      <c r="M321" s="241" t="str">
        <f t="shared" si="38"/>
        <v>Chemical tanker - AverageSea Tanker</v>
      </c>
      <c r="N321" s="284"/>
      <c r="O321" s="283"/>
      <c r="P321" s="283"/>
      <c r="Q321" s="285"/>
      <c r="R321" s="286"/>
      <c r="S321" s="232">
        <v>1.0322E-2</v>
      </c>
      <c r="T321" s="388">
        <v>1.0306967382550335E-2</v>
      </c>
      <c r="U321" s="241" t="s">
        <v>251</v>
      </c>
      <c r="V321" s="241"/>
      <c r="W321" s="218" t="s">
        <v>1125</v>
      </c>
      <c r="X321" s="73" t="s">
        <v>249</v>
      </c>
      <c r="Y321" s="389"/>
      <c r="Z321" s="67"/>
      <c r="AA321" s="67"/>
      <c r="AB321" s="67"/>
      <c r="AC321" s="67"/>
    </row>
    <row r="322" spans="2:29" ht="14.85" customHeight="1">
      <c r="B322" s="166"/>
      <c r="C322" s="173"/>
      <c r="D322" s="212">
        <v>3</v>
      </c>
      <c r="E322" s="212" t="s">
        <v>411</v>
      </c>
      <c r="F322" s="212" t="str">
        <f t="shared" si="33"/>
        <v>3 - Upstream/Downstream Transportation and Distribution</v>
      </c>
      <c r="G322" s="241" t="s">
        <v>307</v>
      </c>
      <c r="H322" s="241" t="s">
        <v>257</v>
      </c>
      <c r="I322" s="241"/>
      <c r="J322" s="241" t="s">
        <v>308</v>
      </c>
      <c r="K322" s="241" t="s">
        <v>430</v>
      </c>
      <c r="L322" s="241" t="s">
        <v>257</v>
      </c>
      <c r="M322" s="241" t="str">
        <f t="shared" si="38"/>
        <v>LNG tanker - AverageSea Tanker</v>
      </c>
      <c r="N322" s="284"/>
      <c r="O322" s="283"/>
      <c r="P322" s="283"/>
      <c r="Q322" s="285"/>
      <c r="R322" s="286"/>
      <c r="S322" s="232">
        <v>1.1547999999999999E-2</v>
      </c>
      <c r="T322" s="388">
        <v>1.1531195570469801E-2</v>
      </c>
      <c r="U322" s="241" t="s">
        <v>251</v>
      </c>
      <c r="V322" s="241"/>
      <c r="W322" s="218" t="s">
        <v>1126</v>
      </c>
      <c r="X322" s="73" t="s">
        <v>249</v>
      </c>
      <c r="Y322" s="389"/>
      <c r="Z322" s="67"/>
      <c r="AA322" s="67"/>
      <c r="AB322" s="67"/>
      <c r="AC322" s="67"/>
    </row>
    <row r="323" spans="2:29" ht="14.85" customHeight="1">
      <c r="B323" s="166"/>
      <c r="C323" s="173"/>
      <c r="D323" s="212">
        <v>3</v>
      </c>
      <c r="E323" s="212" t="s">
        <v>411</v>
      </c>
      <c r="F323" s="212" t="str">
        <f t="shared" si="33"/>
        <v>3 - Upstream/Downstream Transportation and Distribution</v>
      </c>
      <c r="G323" s="241" t="s">
        <v>307</v>
      </c>
      <c r="H323" s="241" t="s">
        <v>257</v>
      </c>
      <c r="I323" s="241"/>
      <c r="J323" s="241" t="s">
        <v>308</v>
      </c>
      <c r="K323" s="241" t="s">
        <v>431</v>
      </c>
      <c r="L323" s="241" t="s">
        <v>257</v>
      </c>
      <c r="M323" s="241" t="str">
        <f t="shared" si="38"/>
        <v>LPG tanker - AverageSea Tanker</v>
      </c>
      <c r="N323" s="284"/>
      <c r="O323" s="283"/>
      <c r="P323" s="283"/>
      <c r="Q323" s="285"/>
      <c r="R323" s="286"/>
      <c r="S323" s="232">
        <v>1.0382000000000001E-2</v>
      </c>
      <c r="T323" s="388">
        <v>1.0366967382550336E-2</v>
      </c>
      <c r="U323" s="241" t="s">
        <v>251</v>
      </c>
      <c r="V323" s="241"/>
      <c r="W323" s="218" t="s">
        <v>1127</v>
      </c>
      <c r="X323" s="73" t="s">
        <v>249</v>
      </c>
      <c r="Y323" s="389"/>
      <c r="Z323" s="67"/>
      <c r="AA323" s="67"/>
      <c r="AB323" s="67"/>
      <c r="AC323" s="67"/>
    </row>
    <row r="324" spans="2:29" ht="14.85" customHeight="1">
      <c r="B324" s="166"/>
      <c r="C324" s="173"/>
      <c r="D324" s="212">
        <v>3</v>
      </c>
      <c r="E324" s="212" t="s">
        <v>411</v>
      </c>
      <c r="F324" s="212" t="str">
        <f t="shared" ref="F324" si="39">D324&amp;" - "&amp;E324</f>
        <v>3 - Upstream/Downstream Transportation and Distribution</v>
      </c>
      <c r="G324" s="241" t="s">
        <v>307</v>
      </c>
      <c r="H324" s="241" t="s">
        <v>432</v>
      </c>
      <c r="I324" s="241"/>
      <c r="J324" s="241" t="s">
        <v>308</v>
      </c>
      <c r="K324" s="241" t="s">
        <v>248</v>
      </c>
      <c r="L324" s="244" t="s">
        <v>433</v>
      </c>
      <c r="M324" s="241" t="str">
        <f t="shared" si="38"/>
        <v>Marine Gas OilCargo Ship</v>
      </c>
      <c r="N324" s="283"/>
      <c r="O324" s="283"/>
      <c r="P324" s="283"/>
      <c r="Q324" s="283"/>
      <c r="R324" s="283"/>
      <c r="S324" s="232">
        <v>0.25835000000000002</v>
      </c>
      <c r="T324" s="388">
        <v>0.26</v>
      </c>
      <c r="U324" s="241" t="s">
        <v>204</v>
      </c>
      <c r="V324" s="235" t="s">
        <v>359</v>
      </c>
      <c r="W324" s="218" t="s">
        <v>1099</v>
      </c>
      <c r="X324" s="73" t="s">
        <v>246</v>
      </c>
      <c r="Y324" s="389"/>
      <c r="Z324" s="67"/>
      <c r="AA324" s="67"/>
      <c r="AB324" s="67"/>
      <c r="AC324" s="67"/>
    </row>
    <row r="325" spans="2:29" ht="14.85" customHeight="1">
      <c r="B325" s="166"/>
      <c r="C325" s="173"/>
      <c r="D325" s="212">
        <v>3</v>
      </c>
      <c r="E325" s="212" t="s">
        <v>411</v>
      </c>
      <c r="F325" s="212" t="str">
        <f t="shared" si="33"/>
        <v>3 - Upstream/Downstream Transportation and Distribution</v>
      </c>
      <c r="G325" s="241" t="s">
        <v>307</v>
      </c>
      <c r="H325" s="241" t="s">
        <v>432</v>
      </c>
      <c r="I325" s="241"/>
      <c r="J325" s="241" t="s">
        <v>308</v>
      </c>
      <c r="K325" s="241" t="s">
        <v>248</v>
      </c>
      <c r="L325" s="244" t="s">
        <v>433</v>
      </c>
      <c r="M325" s="241" t="str">
        <f t="shared" si="38"/>
        <v>Marine Gas OilCargo Ship</v>
      </c>
      <c r="N325" s="284"/>
      <c r="O325" s="283"/>
      <c r="P325" s="283"/>
      <c r="Q325" s="285"/>
      <c r="R325" s="286"/>
      <c r="S325" s="232">
        <v>3249.99</v>
      </c>
      <c r="T325" s="388">
        <v>3245.3</v>
      </c>
      <c r="U325" s="241" t="s">
        <v>281</v>
      </c>
      <c r="V325" s="241"/>
      <c r="W325" s="218" t="s">
        <v>1099</v>
      </c>
      <c r="X325" s="73" t="s">
        <v>246</v>
      </c>
      <c r="Y325" s="389"/>
      <c r="Z325" s="67"/>
      <c r="AA325" s="67"/>
      <c r="AB325" s="67"/>
      <c r="AC325" s="67"/>
    </row>
    <row r="326" spans="2:29" ht="14.85" customHeight="1">
      <c r="B326" s="166"/>
      <c r="C326" s="173"/>
      <c r="D326" s="212">
        <v>3</v>
      </c>
      <c r="E326" s="212" t="s">
        <v>411</v>
      </c>
      <c r="F326" s="212" t="str">
        <f t="shared" si="33"/>
        <v>3 - Upstream/Downstream Transportation and Distribution</v>
      </c>
      <c r="G326" s="241" t="s">
        <v>307</v>
      </c>
      <c r="H326" s="241" t="s">
        <v>432</v>
      </c>
      <c r="I326" s="241"/>
      <c r="J326" s="241" t="s">
        <v>308</v>
      </c>
      <c r="K326" s="241" t="s">
        <v>248</v>
      </c>
      <c r="L326" s="244" t="s">
        <v>433</v>
      </c>
      <c r="M326" s="241" t="str">
        <f t="shared" si="38"/>
        <v>Marine Gas OilCargo Ship</v>
      </c>
      <c r="N326" s="284"/>
      <c r="O326" s="283"/>
      <c r="P326" s="283"/>
      <c r="Q326" s="285"/>
      <c r="R326" s="286"/>
      <c r="S326" s="232">
        <v>2.7753899999999998</v>
      </c>
      <c r="T326" s="388">
        <v>2.77</v>
      </c>
      <c r="U326" s="241" t="s">
        <v>334</v>
      </c>
      <c r="V326" s="241"/>
      <c r="W326" s="218" t="s">
        <v>1099</v>
      </c>
      <c r="X326" s="73" t="s">
        <v>246</v>
      </c>
      <c r="Y326" s="389"/>
      <c r="Z326" s="67"/>
      <c r="AA326" s="67"/>
      <c r="AB326" s="67"/>
      <c r="AC326" s="67"/>
    </row>
    <row r="327" spans="2:29" ht="14.85" customHeight="1">
      <c r="B327" s="166"/>
      <c r="C327" s="173"/>
      <c r="D327" s="212">
        <v>3</v>
      </c>
      <c r="E327" s="212" t="s">
        <v>411</v>
      </c>
      <c r="F327" s="212" t="str">
        <f t="shared" si="33"/>
        <v>3 - Upstream/Downstream Transportation and Distribution</v>
      </c>
      <c r="G327" s="241" t="s">
        <v>307</v>
      </c>
      <c r="H327" s="241" t="s">
        <v>432</v>
      </c>
      <c r="I327" s="241"/>
      <c r="J327" s="241" t="s">
        <v>308</v>
      </c>
      <c r="K327" s="241" t="s">
        <v>248</v>
      </c>
      <c r="L327" s="244" t="s">
        <v>433</v>
      </c>
      <c r="M327" s="241" t="str">
        <f t="shared" si="38"/>
        <v>Marine Gas OilCargo Ship</v>
      </c>
      <c r="N327" s="284"/>
      <c r="O327" s="283"/>
      <c r="P327" s="283"/>
      <c r="Q327" s="285"/>
      <c r="R327" s="286"/>
      <c r="S327" s="232">
        <v>0.25835000000000002</v>
      </c>
      <c r="T327" s="388">
        <v>0.26</v>
      </c>
      <c r="U327" s="241" t="s">
        <v>335</v>
      </c>
      <c r="V327" s="241"/>
      <c r="W327" s="218" t="s">
        <v>1099</v>
      </c>
      <c r="X327" s="73" t="s">
        <v>246</v>
      </c>
      <c r="Y327" s="389"/>
      <c r="Z327" s="67"/>
      <c r="AA327" s="67"/>
      <c r="AB327" s="67"/>
      <c r="AC327" s="67"/>
    </row>
    <row r="328" spans="2:29" ht="14.85" customHeight="1">
      <c r="B328" s="166"/>
      <c r="C328" s="173"/>
      <c r="D328" s="212">
        <v>3</v>
      </c>
      <c r="E328" s="212" t="s">
        <v>411</v>
      </c>
      <c r="F328" s="212" t="str">
        <f t="shared" si="33"/>
        <v>3 - Upstream/Downstream Transportation and Distribution</v>
      </c>
      <c r="G328" s="241" t="s">
        <v>307</v>
      </c>
      <c r="H328" s="241" t="s">
        <v>432</v>
      </c>
      <c r="I328" s="241"/>
      <c r="J328" s="241" t="s">
        <v>308</v>
      </c>
      <c r="K328" s="241" t="s">
        <v>434</v>
      </c>
      <c r="L328" s="244" t="s">
        <v>433</v>
      </c>
      <c r="M328" s="241" t="str">
        <f t="shared" si="38"/>
        <v>Bulk carrier - AverageCargo Ship</v>
      </c>
      <c r="N328" s="284"/>
      <c r="O328" s="283"/>
      <c r="P328" s="283"/>
      <c r="Q328" s="285"/>
      <c r="R328" s="286"/>
      <c r="S328" s="232">
        <v>3.539E-3</v>
      </c>
      <c r="T328" s="388">
        <v>3.5338045637583891E-3</v>
      </c>
      <c r="U328" s="241" t="s">
        <v>251</v>
      </c>
      <c r="V328" s="241"/>
      <c r="W328" s="218" t="s">
        <v>1128</v>
      </c>
      <c r="X328" s="73" t="s">
        <v>249</v>
      </c>
      <c r="Y328" s="389"/>
      <c r="Z328" s="67"/>
      <c r="AA328" s="67"/>
      <c r="AB328" s="67"/>
      <c r="AC328" s="67"/>
    </row>
    <row r="329" spans="2:29" ht="14.85" customHeight="1">
      <c r="B329" s="166"/>
      <c r="C329" s="173"/>
      <c r="D329" s="212">
        <v>3</v>
      </c>
      <c r="E329" s="212" t="s">
        <v>411</v>
      </c>
      <c r="F329" s="212" t="str">
        <f t="shared" si="33"/>
        <v>3 - Upstream/Downstream Transportation and Distribution</v>
      </c>
      <c r="G329" s="241" t="s">
        <v>307</v>
      </c>
      <c r="H329" s="241" t="s">
        <v>432</v>
      </c>
      <c r="I329" s="241"/>
      <c r="J329" s="241" t="s">
        <v>308</v>
      </c>
      <c r="K329" s="241" t="s">
        <v>435</v>
      </c>
      <c r="L329" s="244" t="s">
        <v>433</v>
      </c>
      <c r="M329" s="241" t="str">
        <f t="shared" si="38"/>
        <v>General cargo - AverageCargo Ship</v>
      </c>
      <c r="N329" s="284"/>
      <c r="O329" s="283"/>
      <c r="P329" s="283"/>
      <c r="Q329" s="285"/>
      <c r="R329" s="286"/>
      <c r="S329" s="232">
        <v>1.3232000000000001E-2</v>
      </c>
      <c r="T329" s="388">
        <v>1.3212768590604027E-2</v>
      </c>
      <c r="U329" s="241" t="s">
        <v>251</v>
      </c>
      <c r="V329" s="241"/>
      <c r="W329" s="218" t="s">
        <v>1129</v>
      </c>
      <c r="X329" s="73" t="s">
        <v>249</v>
      </c>
      <c r="Y329" s="389"/>
      <c r="Z329" s="67"/>
      <c r="AA329" s="67"/>
      <c r="AB329" s="67"/>
      <c r="AC329" s="67"/>
    </row>
    <row r="330" spans="2:29" ht="14.85" customHeight="1">
      <c r="B330" s="166"/>
      <c r="C330" s="173"/>
      <c r="D330" s="212">
        <v>3</v>
      </c>
      <c r="E330" s="212" t="s">
        <v>411</v>
      </c>
      <c r="F330" s="212" t="str">
        <f t="shared" si="33"/>
        <v>3 - Upstream/Downstream Transportation and Distribution</v>
      </c>
      <c r="G330" s="241" t="s">
        <v>307</v>
      </c>
      <c r="H330" s="241" t="s">
        <v>432</v>
      </c>
      <c r="I330" s="241"/>
      <c r="J330" s="241" t="s">
        <v>308</v>
      </c>
      <c r="K330" s="241" t="s">
        <v>436</v>
      </c>
      <c r="L330" s="244" t="s">
        <v>433</v>
      </c>
      <c r="M330" s="241" t="str">
        <f t="shared" si="38"/>
        <v>Container ship - AverageCargo Ship</v>
      </c>
      <c r="N330" s="284"/>
      <c r="O330" s="283"/>
      <c r="P330" s="283"/>
      <c r="Q330" s="285"/>
      <c r="R330" s="286"/>
      <c r="S330" s="232">
        <v>1.6142E-2</v>
      </c>
      <c r="T330" s="388">
        <v>1.6118569798657719E-2</v>
      </c>
      <c r="U330" s="241" t="s">
        <v>251</v>
      </c>
      <c r="V330" s="241"/>
      <c r="W330" s="218" t="s">
        <v>1130</v>
      </c>
      <c r="X330" s="73" t="s">
        <v>249</v>
      </c>
      <c r="Y330" s="389"/>
      <c r="Z330" s="67"/>
      <c r="AA330" s="67"/>
      <c r="AB330" s="67"/>
      <c r="AC330" s="67"/>
    </row>
    <row r="331" spans="2:29" ht="14.85" customHeight="1">
      <c r="B331" s="166"/>
      <c r="C331" s="173"/>
      <c r="D331" s="212">
        <v>3</v>
      </c>
      <c r="E331" s="212" t="s">
        <v>411</v>
      </c>
      <c r="F331" s="212" t="str">
        <f t="shared" si="33"/>
        <v>3 - Upstream/Downstream Transportation and Distribution</v>
      </c>
      <c r="G331" s="241" t="s">
        <v>307</v>
      </c>
      <c r="H331" s="241" t="s">
        <v>432</v>
      </c>
      <c r="I331" s="241"/>
      <c r="J331" s="241" t="s">
        <v>308</v>
      </c>
      <c r="K331" s="241" t="s">
        <v>437</v>
      </c>
      <c r="L331" s="244" t="s">
        <v>433</v>
      </c>
      <c r="M331" s="241" t="str">
        <f t="shared" si="38"/>
        <v>Vehicle transport - AverageCargo Ship</v>
      </c>
      <c r="N331" s="284"/>
      <c r="O331" s="283"/>
      <c r="P331" s="283"/>
      <c r="Q331" s="285"/>
      <c r="R331" s="286"/>
      <c r="S331" s="232">
        <v>3.8579000000000002E-2</v>
      </c>
      <c r="T331" s="388">
        <v>3.8522957583892618E-2</v>
      </c>
      <c r="U331" s="241" t="s">
        <v>251</v>
      </c>
      <c r="V331" s="241"/>
      <c r="W331" s="218" t="s">
        <v>1131</v>
      </c>
      <c r="X331" s="73" t="s">
        <v>249</v>
      </c>
      <c r="Y331" s="389"/>
      <c r="Z331" s="67"/>
      <c r="AA331" s="67"/>
      <c r="AB331" s="67"/>
      <c r="AC331" s="67"/>
    </row>
    <row r="332" spans="2:29" ht="14.85" customHeight="1">
      <c r="B332" s="166"/>
      <c r="C332" s="173"/>
      <c r="D332" s="212">
        <v>3</v>
      </c>
      <c r="E332" s="212" t="s">
        <v>411</v>
      </c>
      <c r="F332" s="212" t="str">
        <f t="shared" si="33"/>
        <v>3 - Upstream/Downstream Transportation and Distribution</v>
      </c>
      <c r="G332" s="241" t="s">
        <v>307</v>
      </c>
      <c r="H332" s="241" t="s">
        <v>432</v>
      </c>
      <c r="I332" s="241"/>
      <c r="J332" s="241" t="s">
        <v>308</v>
      </c>
      <c r="K332" s="241" t="s">
        <v>438</v>
      </c>
      <c r="L332" s="244" t="s">
        <v>433</v>
      </c>
      <c r="M332" s="241" t="str">
        <f t="shared" si="38"/>
        <v>RoRo-Ferry - AverageCargo Ship</v>
      </c>
      <c r="N332" s="284"/>
      <c r="O332" s="283"/>
      <c r="P332" s="283"/>
      <c r="Q332" s="285"/>
      <c r="R332" s="286"/>
      <c r="S332" s="232">
        <v>5.1658999999999997E-2</v>
      </c>
      <c r="T332" s="388">
        <v>5.1583947651006712E-2</v>
      </c>
      <c r="U332" s="241" t="s">
        <v>251</v>
      </c>
      <c r="V332" s="241"/>
      <c r="W332" s="218" t="s">
        <v>1132</v>
      </c>
      <c r="X332" s="73" t="s">
        <v>249</v>
      </c>
      <c r="Y332" s="389"/>
      <c r="Z332" s="67"/>
      <c r="AA332" s="67"/>
      <c r="AB332" s="67"/>
      <c r="AC332" s="67"/>
    </row>
    <row r="333" spans="2:29" ht="14.85" customHeight="1">
      <c r="B333" s="166"/>
      <c r="C333" s="173"/>
      <c r="D333" s="212">
        <v>3</v>
      </c>
      <c r="E333" s="212" t="s">
        <v>411</v>
      </c>
      <c r="F333" s="212" t="str">
        <f t="shared" si="33"/>
        <v>3 - Upstream/Downstream Transportation and Distribution</v>
      </c>
      <c r="G333" s="241" t="s">
        <v>307</v>
      </c>
      <c r="H333" s="241" t="s">
        <v>432</v>
      </c>
      <c r="I333" s="241"/>
      <c r="J333" s="241" t="s">
        <v>308</v>
      </c>
      <c r="K333" s="241" t="s">
        <v>439</v>
      </c>
      <c r="L333" s="244" t="s">
        <v>433</v>
      </c>
      <c r="M333" s="241" t="str">
        <f t="shared" si="38"/>
        <v>Large RoPax ferry - AverageCargo Ship</v>
      </c>
      <c r="N333" s="284"/>
      <c r="O333" s="283"/>
      <c r="P333" s="283"/>
      <c r="Q333" s="285"/>
      <c r="R333" s="286"/>
      <c r="S333" s="232">
        <v>0.37667</v>
      </c>
      <c r="T333" s="388">
        <v>0.37612309516778525</v>
      </c>
      <c r="U333" s="241" t="s">
        <v>251</v>
      </c>
      <c r="V333" s="241"/>
      <c r="W333" s="218" t="s">
        <v>1133</v>
      </c>
      <c r="X333" s="73" t="s">
        <v>249</v>
      </c>
      <c r="Y333" s="389"/>
      <c r="Z333" s="67"/>
      <c r="AA333" s="67"/>
      <c r="AB333" s="67"/>
      <c r="AC333" s="67"/>
    </row>
    <row r="334" spans="2:29" ht="14.85" customHeight="1">
      <c r="B334" s="166"/>
      <c r="C334" s="173"/>
      <c r="D334" s="212">
        <v>3</v>
      </c>
      <c r="E334" s="212" t="s">
        <v>411</v>
      </c>
      <c r="F334" s="212" t="str">
        <f t="shared" si="33"/>
        <v>3 - Upstream/Downstream Transportation and Distribution</v>
      </c>
      <c r="G334" s="241" t="s">
        <v>307</v>
      </c>
      <c r="H334" s="241" t="s">
        <v>432</v>
      </c>
      <c r="I334" s="241"/>
      <c r="J334" s="241" t="s">
        <v>308</v>
      </c>
      <c r="K334" s="241" t="s">
        <v>440</v>
      </c>
      <c r="L334" s="244" t="s">
        <v>433</v>
      </c>
      <c r="M334" s="241" t="str">
        <f t="shared" si="38"/>
        <v>Refrigerated cargo - All dwtCargo Ship</v>
      </c>
      <c r="N334" s="284"/>
      <c r="O334" s="283"/>
      <c r="P334" s="283"/>
      <c r="Q334" s="285"/>
      <c r="R334" s="286"/>
      <c r="S334" s="232">
        <v>1.308E-2</v>
      </c>
      <c r="T334" s="388">
        <v>1.3060990067114094E-2</v>
      </c>
      <c r="U334" s="241" t="s">
        <v>251</v>
      </c>
      <c r="V334" s="241"/>
      <c r="W334" s="218" t="s">
        <v>1134</v>
      </c>
      <c r="X334" s="73" t="s">
        <v>249</v>
      </c>
      <c r="Y334" s="389"/>
      <c r="Z334" s="67"/>
      <c r="AA334" s="67"/>
      <c r="AB334" s="67"/>
      <c r="AC334" s="67"/>
    </row>
    <row r="335" spans="2:29" ht="14.85" customHeight="1">
      <c r="B335" s="166"/>
      <c r="C335" s="173"/>
      <c r="D335" s="212">
        <v>3</v>
      </c>
      <c r="E335" s="212" t="s">
        <v>411</v>
      </c>
      <c r="F335" s="212" t="str">
        <f t="shared" ref="F335:F365" si="40">D335&amp;" - "&amp;E335</f>
        <v>3 - Upstream/Downstream Transportation and Distribution</v>
      </c>
      <c r="G335" s="241" t="s">
        <v>307</v>
      </c>
      <c r="H335" s="241" t="s">
        <v>441</v>
      </c>
      <c r="I335" s="241"/>
      <c r="J335" s="241" t="s">
        <v>308</v>
      </c>
      <c r="K335" s="241" t="s">
        <v>442</v>
      </c>
      <c r="L335" s="241" t="s">
        <v>441</v>
      </c>
      <c r="M335" s="241" t="str">
        <f t="shared" si="38"/>
        <v>Average (up to 3.5. tonnes) - DieselVan</v>
      </c>
      <c r="N335" s="284"/>
      <c r="O335" s="283"/>
      <c r="P335" s="283"/>
      <c r="Q335" s="285"/>
      <c r="R335" s="286"/>
      <c r="S335" s="232">
        <v>0.57870999999999995</v>
      </c>
      <c r="T335" s="388">
        <v>0.79014736644295303</v>
      </c>
      <c r="U335" s="241" t="s">
        <v>251</v>
      </c>
      <c r="V335" s="241"/>
      <c r="W335" s="218" t="s">
        <v>1135</v>
      </c>
      <c r="X335" s="73" t="s">
        <v>249</v>
      </c>
      <c r="Y335" s="389"/>
      <c r="Z335" s="67"/>
      <c r="AA335" s="67"/>
      <c r="AB335" s="67"/>
      <c r="AC335" s="67"/>
    </row>
    <row r="336" spans="2:29" ht="14.85" customHeight="1">
      <c r="B336" s="166"/>
      <c r="C336" s="173"/>
      <c r="D336" s="212">
        <v>3</v>
      </c>
      <c r="E336" s="212" t="s">
        <v>411</v>
      </c>
      <c r="F336" s="212" t="str">
        <f t="shared" si="40"/>
        <v>3 - Upstream/Downstream Transportation and Distribution</v>
      </c>
      <c r="G336" s="241" t="s">
        <v>307</v>
      </c>
      <c r="H336" s="241" t="s">
        <v>441</v>
      </c>
      <c r="I336" s="241"/>
      <c r="J336" s="241" t="s">
        <v>308</v>
      </c>
      <c r="K336" s="241" t="s">
        <v>442</v>
      </c>
      <c r="L336" s="241" t="s">
        <v>441</v>
      </c>
      <c r="M336" s="241" t="str">
        <f t="shared" si="38"/>
        <v>Average (up to 3.5. tonnes) - DieselVan</v>
      </c>
      <c r="N336" s="284"/>
      <c r="O336" s="283"/>
      <c r="P336" s="283"/>
      <c r="Q336" s="285"/>
      <c r="R336" s="286"/>
      <c r="S336" s="232">
        <v>0.23155999999999999</v>
      </c>
      <c r="T336" s="388">
        <v>0.1421240268456376</v>
      </c>
      <c r="U336" s="241" t="s">
        <v>264</v>
      </c>
      <c r="V336" s="241"/>
      <c r="W336" s="218" t="s">
        <v>1135</v>
      </c>
      <c r="X336" s="73" t="s">
        <v>249</v>
      </c>
      <c r="Y336" s="389"/>
      <c r="Z336" s="67"/>
      <c r="AA336" s="67"/>
      <c r="AB336" s="67"/>
      <c r="AC336" s="67"/>
    </row>
    <row r="337" spans="2:29" ht="14.85" customHeight="1">
      <c r="B337" s="166"/>
      <c r="C337" s="173"/>
      <c r="D337" s="212">
        <v>3</v>
      </c>
      <c r="E337" s="212" t="s">
        <v>411</v>
      </c>
      <c r="F337" s="212" t="str">
        <f t="shared" si="40"/>
        <v>3 - Upstream/Downstream Transportation and Distribution</v>
      </c>
      <c r="G337" s="241" t="s">
        <v>307</v>
      </c>
      <c r="H337" s="241" t="s">
        <v>441</v>
      </c>
      <c r="I337" s="241"/>
      <c r="J337" s="241" t="s">
        <v>308</v>
      </c>
      <c r="K337" s="241" t="s">
        <v>442</v>
      </c>
      <c r="L337" s="241" t="s">
        <v>441</v>
      </c>
      <c r="M337" s="241" t="str">
        <f t="shared" si="38"/>
        <v>Average (up to 3.5. tonnes) - DieselVan</v>
      </c>
      <c r="N337" s="284"/>
      <c r="O337" s="283"/>
      <c r="P337" s="283"/>
      <c r="Q337" s="285"/>
      <c r="R337" s="286"/>
      <c r="S337" s="232">
        <v>0.37268000000000001</v>
      </c>
      <c r="T337" s="388">
        <v>0.22874898523489931</v>
      </c>
      <c r="U337" s="241" t="s">
        <v>419</v>
      </c>
      <c r="V337" s="241"/>
      <c r="W337" s="218" t="s">
        <v>1135</v>
      </c>
      <c r="X337" s="73" t="s">
        <v>249</v>
      </c>
      <c r="Y337" s="389"/>
      <c r="Z337" s="67"/>
      <c r="AA337" s="67"/>
      <c r="AB337" s="67"/>
      <c r="AC337" s="67"/>
    </row>
    <row r="338" spans="2:29" ht="14.85" customHeight="1">
      <c r="B338" s="166"/>
      <c r="C338" s="173"/>
      <c r="D338" s="212">
        <v>3</v>
      </c>
      <c r="E338" s="212" t="s">
        <v>411</v>
      </c>
      <c r="F338" s="212" t="str">
        <f t="shared" si="40"/>
        <v>3 - Upstream/Downstream Transportation and Distribution</v>
      </c>
      <c r="G338" s="241" t="s">
        <v>307</v>
      </c>
      <c r="H338" s="241" t="s">
        <v>441</v>
      </c>
      <c r="I338" s="241"/>
      <c r="J338" s="241" t="s">
        <v>308</v>
      </c>
      <c r="K338" s="241" t="s">
        <v>443</v>
      </c>
      <c r="L338" s="241" t="s">
        <v>441</v>
      </c>
      <c r="M338" s="241" t="str">
        <f t="shared" si="38"/>
        <v>Average (up to 3.5. tonnes) - PetrolVan</v>
      </c>
      <c r="N338" s="284"/>
      <c r="O338" s="283"/>
      <c r="P338" s="283"/>
      <c r="Q338" s="285"/>
      <c r="R338" s="286"/>
      <c r="S338" s="232">
        <v>0.59127999999999992</v>
      </c>
      <c r="T338" s="388">
        <v>0.79014736644295303</v>
      </c>
      <c r="U338" s="241" t="s">
        <v>251</v>
      </c>
      <c r="V338" s="241"/>
      <c r="W338" s="218" t="s">
        <v>1135</v>
      </c>
      <c r="X338" s="73" t="s">
        <v>249</v>
      </c>
      <c r="Y338" s="389"/>
      <c r="Z338" s="67"/>
      <c r="AA338" s="67"/>
      <c r="AB338" s="67"/>
      <c r="AC338" s="67"/>
    </row>
    <row r="339" spans="2:29" ht="14.85" customHeight="1">
      <c r="B339" s="166"/>
      <c r="C339" s="173"/>
      <c r="D339" s="212">
        <v>3</v>
      </c>
      <c r="E339" s="212" t="s">
        <v>411</v>
      </c>
      <c r="F339" s="212" t="str">
        <f t="shared" si="40"/>
        <v>3 - Upstream/Downstream Transportation and Distribution</v>
      </c>
      <c r="G339" s="241" t="s">
        <v>307</v>
      </c>
      <c r="H339" s="241" t="s">
        <v>441</v>
      </c>
      <c r="I339" s="241"/>
      <c r="J339" s="241" t="s">
        <v>308</v>
      </c>
      <c r="K339" s="241" t="s">
        <v>443</v>
      </c>
      <c r="L339" s="241" t="s">
        <v>441</v>
      </c>
      <c r="M339" s="241" t="str">
        <f t="shared" si="38"/>
        <v>Average (up to 3.5. tonnes) - PetrolVan</v>
      </c>
      <c r="N339" s="284"/>
      <c r="O339" s="283"/>
      <c r="P339" s="283"/>
      <c r="Q339" s="285"/>
      <c r="R339" s="286"/>
      <c r="S339" s="232">
        <v>0.23574999999999999</v>
      </c>
      <c r="T339" s="388">
        <v>0.1421240268456376</v>
      </c>
      <c r="U339" s="241" t="s">
        <v>264</v>
      </c>
      <c r="V339" s="241"/>
      <c r="W339" s="218" t="s">
        <v>1135</v>
      </c>
      <c r="X339" s="73" t="s">
        <v>249</v>
      </c>
      <c r="Y339" s="389"/>
      <c r="Z339" s="67"/>
      <c r="AA339" s="67"/>
      <c r="AB339" s="67"/>
      <c r="AC339" s="67"/>
    </row>
    <row r="340" spans="2:29" ht="14.85" customHeight="1">
      <c r="B340" s="166"/>
      <c r="C340" s="173"/>
      <c r="D340" s="212">
        <v>3</v>
      </c>
      <c r="E340" s="212" t="s">
        <v>411</v>
      </c>
      <c r="F340" s="212" t="str">
        <f t="shared" si="40"/>
        <v>3 - Upstream/Downstream Transportation and Distribution</v>
      </c>
      <c r="G340" s="241" t="s">
        <v>307</v>
      </c>
      <c r="H340" s="241" t="s">
        <v>441</v>
      </c>
      <c r="I340" s="241"/>
      <c r="J340" s="241" t="s">
        <v>308</v>
      </c>
      <c r="K340" s="241" t="s">
        <v>443</v>
      </c>
      <c r="L340" s="241" t="s">
        <v>441</v>
      </c>
      <c r="M340" s="241" t="str">
        <f t="shared" si="38"/>
        <v>Average (up to 3.5. tonnes) - PetrolVan</v>
      </c>
      <c r="N340" s="284"/>
      <c r="O340" s="283"/>
      <c r="P340" s="283"/>
      <c r="Q340" s="285"/>
      <c r="R340" s="286"/>
      <c r="S340" s="232">
        <v>0.37939000000000001</v>
      </c>
      <c r="T340" s="388">
        <v>0.22874898523489931</v>
      </c>
      <c r="U340" s="241" t="s">
        <v>419</v>
      </c>
      <c r="V340" s="241"/>
      <c r="W340" s="218" t="s">
        <v>1135</v>
      </c>
      <c r="X340" s="73" t="s">
        <v>249</v>
      </c>
      <c r="Y340" s="389"/>
      <c r="Z340" s="67"/>
      <c r="AA340" s="67"/>
      <c r="AB340" s="67"/>
      <c r="AC340" s="67"/>
    </row>
    <row r="341" spans="2:29" ht="14.85" customHeight="1">
      <c r="B341" s="166"/>
      <c r="C341" s="173"/>
      <c r="D341" s="212">
        <v>3</v>
      </c>
      <c r="E341" s="212" t="s">
        <v>411</v>
      </c>
      <c r="F341" s="212" t="str">
        <f t="shared" si="40"/>
        <v>3 - Upstream/Downstream Transportation and Distribution</v>
      </c>
      <c r="G341" s="241" t="s">
        <v>307</v>
      </c>
      <c r="H341" s="241" t="s">
        <v>441</v>
      </c>
      <c r="I341" s="241"/>
      <c r="J341" s="241" t="s">
        <v>308</v>
      </c>
      <c r="K341" s="241" t="s">
        <v>444</v>
      </c>
      <c r="L341" s="241" t="s">
        <v>441</v>
      </c>
      <c r="M341" s="241" t="str">
        <f t="shared" si="38"/>
        <v>Average (up to 3.5. tonnes) - CNGVan</v>
      </c>
      <c r="N341" s="284"/>
      <c r="O341" s="283"/>
      <c r="P341" s="283"/>
      <c r="Q341" s="285"/>
      <c r="R341" s="286"/>
      <c r="S341" s="232">
        <v>0.57870999999999995</v>
      </c>
      <c r="T341" s="388">
        <v>0.79014736644295303</v>
      </c>
      <c r="U341" s="241" t="s">
        <v>251</v>
      </c>
      <c r="V341" s="241"/>
      <c r="W341" s="218" t="s">
        <v>1135</v>
      </c>
      <c r="X341" s="73" t="s">
        <v>249</v>
      </c>
      <c r="Y341" s="389"/>
      <c r="Z341" s="67"/>
      <c r="AA341" s="67"/>
      <c r="AB341" s="67"/>
      <c r="AC341" s="67"/>
    </row>
    <row r="342" spans="2:29" ht="14.85" customHeight="1">
      <c r="B342" s="166"/>
      <c r="C342" s="173"/>
      <c r="D342" s="212">
        <v>3</v>
      </c>
      <c r="E342" s="212" t="s">
        <v>411</v>
      </c>
      <c r="F342" s="212" t="str">
        <f t="shared" si="40"/>
        <v>3 - Upstream/Downstream Transportation and Distribution</v>
      </c>
      <c r="G342" s="241" t="s">
        <v>307</v>
      </c>
      <c r="H342" s="241" t="s">
        <v>441</v>
      </c>
      <c r="I342" s="241"/>
      <c r="J342" s="241" t="s">
        <v>308</v>
      </c>
      <c r="K342" s="241" t="s">
        <v>444</v>
      </c>
      <c r="L342" s="241" t="s">
        <v>441</v>
      </c>
      <c r="M342" s="241" t="str">
        <f t="shared" si="38"/>
        <v>Average (up to 3.5. tonnes) - CNGVan</v>
      </c>
      <c r="N342" s="284"/>
      <c r="O342" s="283"/>
      <c r="P342" s="283"/>
      <c r="Q342" s="285"/>
      <c r="R342" s="286"/>
      <c r="S342" s="232">
        <v>0.23155999999999999</v>
      </c>
      <c r="T342" s="388">
        <v>0.1421240268456376</v>
      </c>
      <c r="U342" s="241" t="s">
        <v>264</v>
      </c>
      <c r="V342" s="241"/>
      <c r="W342" s="218" t="s">
        <v>1135</v>
      </c>
      <c r="X342" s="73" t="s">
        <v>249</v>
      </c>
      <c r="Y342" s="389"/>
      <c r="Z342" s="67"/>
      <c r="AA342" s="67"/>
      <c r="AB342" s="67"/>
      <c r="AC342" s="67"/>
    </row>
    <row r="343" spans="2:29" ht="14.85" customHeight="1">
      <c r="B343" s="166"/>
      <c r="C343" s="173"/>
      <c r="D343" s="212">
        <v>3</v>
      </c>
      <c r="E343" s="212" t="s">
        <v>411</v>
      </c>
      <c r="F343" s="212" t="str">
        <f t="shared" si="40"/>
        <v>3 - Upstream/Downstream Transportation and Distribution</v>
      </c>
      <c r="G343" s="241" t="s">
        <v>307</v>
      </c>
      <c r="H343" s="241" t="s">
        <v>441</v>
      </c>
      <c r="I343" s="241"/>
      <c r="J343" s="241" t="s">
        <v>308</v>
      </c>
      <c r="K343" s="241" t="s">
        <v>444</v>
      </c>
      <c r="L343" s="241" t="s">
        <v>441</v>
      </c>
      <c r="M343" s="241" t="str">
        <f t="shared" si="38"/>
        <v>Average (up to 3.5. tonnes) - CNGVan</v>
      </c>
      <c r="N343" s="284"/>
      <c r="O343" s="283"/>
      <c r="P343" s="283"/>
      <c r="Q343" s="285"/>
      <c r="R343" s="286"/>
      <c r="S343" s="232">
        <v>0.37268000000000001</v>
      </c>
      <c r="T343" s="388">
        <v>0.22874898523489931</v>
      </c>
      <c r="U343" s="241" t="s">
        <v>419</v>
      </c>
      <c r="V343" s="241"/>
      <c r="W343" s="218" t="s">
        <v>1135</v>
      </c>
      <c r="X343" s="73" t="s">
        <v>249</v>
      </c>
      <c r="Y343" s="389"/>
      <c r="Z343" s="67"/>
      <c r="AA343" s="67"/>
      <c r="AB343" s="67"/>
      <c r="AC343" s="67"/>
    </row>
    <row r="344" spans="2:29" ht="14.85" customHeight="1">
      <c r="B344" s="166"/>
      <c r="C344" s="173"/>
      <c r="D344" s="212">
        <v>3</v>
      </c>
      <c r="E344" s="212" t="s">
        <v>411</v>
      </c>
      <c r="F344" s="212" t="str">
        <f t="shared" si="40"/>
        <v>3 - Upstream/Downstream Transportation and Distribution</v>
      </c>
      <c r="G344" s="241" t="s">
        <v>307</v>
      </c>
      <c r="H344" s="241" t="s">
        <v>441</v>
      </c>
      <c r="I344" s="241"/>
      <c r="J344" s="241" t="s">
        <v>308</v>
      </c>
      <c r="K344" s="241" t="s">
        <v>445</v>
      </c>
      <c r="L344" s="241" t="s">
        <v>441</v>
      </c>
      <c r="M344" s="241" t="str">
        <f t="shared" si="38"/>
        <v>Average (up to 3.5. tonnes) - LPGVan</v>
      </c>
      <c r="N344" s="284"/>
      <c r="O344" s="283"/>
      <c r="P344" s="283"/>
      <c r="Q344" s="285"/>
      <c r="R344" s="286"/>
      <c r="S344" s="232">
        <v>0.6502</v>
      </c>
      <c r="T344" s="388">
        <v>0.79014736644295303</v>
      </c>
      <c r="U344" s="241" t="s">
        <v>251</v>
      </c>
      <c r="V344" s="241"/>
      <c r="W344" s="218" t="s">
        <v>1135</v>
      </c>
      <c r="X344" s="73" t="s">
        <v>249</v>
      </c>
      <c r="Y344" s="389"/>
      <c r="Z344" s="67"/>
      <c r="AA344" s="67"/>
      <c r="AB344" s="67"/>
      <c r="AC344" s="67"/>
    </row>
    <row r="345" spans="2:29" ht="14.85" customHeight="1">
      <c r="B345" s="166"/>
      <c r="C345" s="173"/>
      <c r="D345" s="212">
        <v>3</v>
      </c>
      <c r="E345" s="212" t="s">
        <v>411</v>
      </c>
      <c r="F345" s="212" t="str">
        <f t="shared" si="40"/>
        <v>3 - Upstream/Downstream Transportation and Distribution</v>
      </c>
      <c r="G345" s="241" t="s">
        <v>307</v>
      </c>
      <c r="H345" s="241" t="s">
        <v>441</v>
      </c>
      <c r="I345" s="241"/>
      <c r="J345" s="241" t="s">
        <v>308</v>
      </c>
      <c r="K345" s="241" t="s">
        <v>445</v>
      </c>
      <c r="L345" s="241" t="s">
        <v>441</v>
      </c>
      <c r="M345" s="241" t="str">
        <f t="shared" si="38"/>
        <v>Average (up to 3.5. tonnes) - LPGVan</v>
      </c>
      <c r="N345" s="284"/>
      <c r="O345" s="283"/>
      <c r="P345" s="283"/>
      <c r="Q345" s="285"/>
      <c r="R345" s="286"/>
      <c r="S345" s="232">
        <v>0.25923999999999997</v>
      </c>
      <c r="T345" s="388">
        <v>0.1421240268456376</v>
      </c>
      <c r="U345" s="241" t="s">
        <v>264</v>
      </c>
      <c r="V345" s="241"/>
      <c r="W345" s="218" t="s">
        <v>1135</v>
      </c>
      <c r="X345" s="73" t="s">
        <v>249</v>
      </c>
      <c r="Y345" s="389"/>
      <c r="Z345" s="67"/>
      <c r="AA345" s="67"/>
      <c r="AB345" s="67"/>
      <c r="AC345" s="67"/>
    </row>
    <row r="346" spans="2:29" ht="14.85" customHeight="1">
      <c r="B346" s="166"/>
      <c r="C346" s="173"/>
      <c r="D346" s="212">
        <v>3</v>
      </c>
      <c r="E346" s="212" t="s">
        <v>411</v>
      </c>
      <c r="F346" s="212" t="str">
        <f t="shared" si="40"/>
        <v>3 - Upstream/Downstream Transportation and Distribution</v>
      </c>
      <c r="G346" s="241" t="s">
        <v>307</v>
      </c>
      <c r="H346" s="241" t="s">
        <v>441</v>
      </c>
      <c r="I346" s="241"/>
      <c r="J346" s="241" t="s">
        <v>308</v>
      </c>
      <c r="K346" s="241" t="s">
        <v>445</v>
      </c>
      <c r="L346" s="241" t="s">
        <v>441</v>
      </c>
      <c r="M346" s="241" t="str">
        <f t="shared" si="38"/>
        <v>Average (up to 3.5. tonnes) - LPGVan</v>
      </c>
      <c r="N346" s="284"/>
      <c r="O346" s="283"/>
      <c r="P346" s="283"/>
      <c r="Q346" s="285"/>
      <c r="R346" s="286"/>
      <c r="S346" s="232">
        <v>0.41721000000000003</v>
      </c>
      <c r="T346" s="388">
        <v>0.22874898523489931</v>
      </c>
      <c r="U346" s="241" t="s">
        <v>419</v>
      </c>
      <c r="V346" s="241"/>
      <c r="W346" s="218" t="s">
        <v>1135</v>
      </c>
      <c r="X346" s="73" t="s">
        <v>249</v>
      </c>
      <c r="Y346" s="389"/>
      <c r="Z346" s="67"/>
      <c r="AA346" s="67"/>
      <c r="AB346" s="67"/>
      <c r="AC346" s="67"/>
    </row>
    <row r="347" spans="2:29" ht="14.85" customHeight="1">
      <c r="B347" s="166"/>
      <c r="C347" s="173"/>
      <c r="D347" s="212">
        <v>3</v>
      </c>
      <c r="E347" s="212" t="s">
        <v>411</v>
      </c>
      <c r="F347" s="212" t="str">
        <f t="shared" si="40"/>
        <v>3 - Upstream/Downstream Transportation and Distribution</v>
      </c>
      <c r="G347" s="241" t="s">
        <v>307</v>
      </c>
      <c r="H347" s="241" t="s">
        <v>441</v>
      </c>
      <c r="I347" s="241"/>
      <c r="J347" s="241" t="s">
        <v>308</v>
      </c>
      <c r="K347" s="241" t="s">
        <v>446</v>
      </c>
      <c r="L347" s="241" t="s">
        <v>441</v>
      </c>
      <c r="M347" s="241" t="str">
        <f t="shared" si="38"/>
        <v>Average (up to 3.5. tonnes) - UnknownVan</v>
      </c>
      <c r="N347" s="284"/>
      <c r="O347" s="283"/>
      <c r="P347" s="283"/>
      <c r="Q347" s="285"/>
      <c r="R347" s="286"/>
      <c r="S347" s="232">
        <v>0.58421000000000001</v>
      </c>
      <c r="T347" s="388">
        <v>0.79014736644295303</v>
      </c>
      <c r="U347" s="241" t="s">
        <v>251</v>
      </c>
      <c r="V347" s="241"/>
      <c r="W347" s="218" t="s">
        <v>1135</v>
      </c>
      <c r="X347" s="73" t="s">
        <v>249</v>
      </c>
      <c r="Y347" s="389"/>
      <c r="Z347" s="67"/>
      <c r="AA347" s="67"/>
      <c r="AB347" s="67"/>
      <c r="AC347" s="67"/>
    </row>
    <row r="348" spans="2:29" ht="14.85" customHeight="1">
      <c r="B348" s="166"/>
      <c r="C348" s="173"/>
      <c r="D348" s="212">
        <v>3</v>
      </c>
      <c r="E348" s="212" t="s">
        <v>411</v>
      </c>
      <c r="F348" s="212" t="str">
        <f t="shared" si="40"/>
        <v>3 - Upstream/Downstream Transportation and Distribution</v>
      </c>
      <c r="G348" s="241" t="s">
        <v>307</v>
      </c>
      <c r="H348" s="241" t="s">
        <v>441</v>
      </c>
      <c r="I348" s="241"/>
      <c r="J348" s="241" t="s">
        <v>308</v>
      </c>
      <c r="K348" s="241" t="s">
        <v>446</v>
      </c>
      <c r="L348" s="241" t="s">
        <v>441</v>
      </c>
      <c r="M348" s="241" t="str">
        <f t="shared" si="38"/>
        <v>Average (up to 3.5. tonnes) - UnknownVan</v>
      </c>
      <c r="N348" s="284"/>
      <c r="O348" s="283"/>
      <c r="P348" s="283"/>
      <c r="Q348" s="285"/>
      <c r="R348" s="286"/>
      <c r="S348" s="232">
        <v>0.23099</v>
      </c>
      <c r="T348" s="388">
        <v>0.1421240268456376</v>
      </c>
      <c r="U348" s="241" t="s">
        <v>264</v>
      </c>
      <c r="V348" s="241"/>
      <c r="W348" s="218" t="s">
        <v>1135</v>
      </c>
      <c r="X348" s="73" t="s">
        <v>249</v>
      </c>
      <c r="Y348" s="389"/>
      <c r="Z348" s="67"/>
      <c r="AA348" s="67"/>
      <c r="AB348" s="67"/>
      <c r="AC348" s="67"/>
    </row>
    <row r="349" spans="2:29" ht="14.85" customHeight="1">
      <c r="B349" s="166"/>
      <c r="C349" s="173"/>
      <c r="D349" s="212">
        <v>3</v>
      </c>
      <c r="E349" s="212" t="s">
        <v>411</v>
      </c>
      <c r="F349" s="212" t="str">
        <f t="shared" si="40"/>
        <v>3 - Upstream/Downstream Transportation and Distribution</v>
      </c>
      <c r="G349" s="241" t="s">
        <v>307</v>
      </c>
      <c r="H349" s="241" t="s">
        <v>441</v>
      </c>
      <c r="I349" s="241"/>
      <c r="J349" s="241" t="s">
        <v>308</v>
      </c>
      <c r="K349" s="241" t="s">
        <v>446</v>
      </c>
      <c r="L349" s="241" t="s">
        <v>441</v>
      </c>
      <c r="M349" s="241" t="str">
        <f t="shared" si="38"/>
        <v>Average (up to 3.5. tonnes) - UnknownVan</v>
      </c>
      <c r="N349" s="284"/>
      <c r="O349" s="283"/>
      <c r="P349" s="283"/>
      <c r="Q349" s="285"/>
      <c r="R349" s="286"/>
      <c r="S349" s="232">
        <v>0.37174000000000001</v>
      </c>
      <c r="T349" s="388">
        <v>0.22874898523489931</v>
      </c>
      <c r="U349" s="241" t="s">
        <v>419</v>
      </c>
      <c r="V349" s="241"/>
      <c r="W349" s="218" t="s">
        <v>1135</v>
      </c>
      <c r="X349" s="73" t="s">
        <v>249</v>
      </c>
      <c r="Y349" s="389"/>
      <c r="Z349" s="67"/>
      <c r="AA349" s="67"/>
      <c r="AB349" s="67"/>
      <c r="AC349" s="67"/>
    </row>
    <row r="350" spans="2:29" ht="14.85" customHeight="1">
      <c r="B350" s="166"/>
      <c r="C350" s="173"/>
      <c r="D350" s="212">
        <v>3</v>
      </c>
      <c r="E350" s="212" t="s">
        <v>411</v>
      </c>
      <c r="F350" s="212" t="str">
        <f t="shared" si="40"/>
        <v>3 - Upstream/Downstream Transportation and Distribution</v>
      </c>
      <c r="G350" s="241" t="s">
        <v>307</v>
      </c>
      <c r="H350" s="241" t="s">
        <v>441</v>
      </c>
      <c r="I350" s="241"/>
      <c r="J350" s="241" t="s">
        <v>308</v>
      </c>
      <c r="K350" s="241" t="s">
        <v>447</v>
      </c>
      <c r="L350" s="241" t="s">
        <v>441</v>
      </c>
      <c r="M350" s="241" t="str">
        <f t="shared" si="38"/>
        <v>Average (up to 3.5. tonnes) - Battery Electric VehicleVan</v>
      </c>
      <c r="N350" s="284"/>
      <c r="O350" s="283"/>
      <c r="P350" s="283"/>
      <c r="Q350" s="285"/>
      <c r="R350" s="286"/>
      <c r="S350" s="232">
        <v>0.25115999999999999</v>
      </c>
      <c r="T350" s="388">
        <v>0.79014736644295303</v>
      </c>
      <c r="U350" s="241" t="s">
        <v>251</v>
      </c>
      <c r="V350" s="241"/>
      <c r="W350" s="218" t="s">
        <v>1135</v>
      </c>
      <c r="X350" s="73" t="s">
        <v>249</v>
      </c>
      <c r="Y350" s="389"/>
      <c r="Z350" s="67"/>
      <c r="AA350" s="67"/>
      <c r="AB350" s="67"/>
      <c r="AC350" s="67"/>
    </row>
    <row r="351" spans="2:29" ht="14.85" customHeight="1">
      <c r="B351" s="166"/>
      <c r="C351" s="173"/>
      <c r="D351" s="212">
        <v>3</v>
      </c>
      <c r="E351" s="212" t="s">
        <v>411</v>
      </c>
      <c r="F351" s="212" t="str">
        <f t="shared" si="40"/>
        <v>3 - Upstream/Downstream Transportation and Distribution</v>
      </c>
      <c r="G351" s="241" t="s">
        <v>307</v>
      </c>
      <c r="H351" s="241" t="s">
        <v>441</v>
      </c>
      <c r="I351" s="241"/>
      <c r="J351" s="241" t="s">
        <v>308</v>
      </c>
      <c r="K351" s="241" t="s">
        <v>447</v>
      </c>
      <c r="L351" s="241" t="s">
        <v>441</v>
      </c>
      <c r="M351" s="241" t="str">
        <f t="shared" si="38"/>
        <v>Average (up to 3.5. tonnes) - Battery Electric VehicleVan</v>
      </c>
      <c r="N351" s="284"/>
      <c r="O351" s="283"/>
      <c r="P351" s="283"/>
      <c r="Q351" s="285"/>
      <c r="R351" s="286"/>
      <c r="S351" s="232">
        <v>6.225E-2</v>
      </c>
      <c r="T351" s="388">
        <v>0.1421240268456376</v>
      </c>
      <c r="U351" s="241" t="s">
        <v>264</v>
      </c>
      <c r="V351" s="241"/>
      <c r="W351" s="218" t="s">
        <v>1135</v>
      </c>
      <c r="X351" s="73" t="s">
        <v>249</v>
      </c>
      <c r="Y351" s="389"/>
      <c r="Z351" s="67"/>
      <c r="AA351" s="67"/>
      <c r="AB351" s="67"/>
      <c r="AC351" s="67"/>
    </row>
    <row r="352" spans="2:29" ht="14.85" customHeight="1">
      <c r="B352" s="166"/>
      <c r="C352" s="173"/>
      <c r="D352" s="212">
        <v>3</v>
      </c>
      <c r="E352" s="212" t="s">
        <v>411</v>
      </c>
      <c r="F352" s="212" t="str">
        <f t="shared" si="40"/>
        <v>3 - Upstream/Downstream Transportation and Distribution</v>
      </c>
      <c r="G352" s="241" t="s">
        <v>307</v>
      </c>
      <c r="H352" s="241" t="s">
        <v>441</v>
      </c>
      <c r="I352" s="241"/>
      <c r="J352" s="241" t="s">
        <v>308</v>
      </c>
      <c r="K352" s="241" t="s">
        <v>447</v>
      </c>
      <c r="L352" s="241" t="s">
        <v>441</v>
      </c>
      <c r="M352" s="241" t="str">
        <f t="shared" si="38"/>
        <v>Average (up to 3.5. tonnes) - Battery Electric VehicleVan</v>
      </c>
      <c r="N352" s="284"/>
      <c r="O352" s="283"/>
      <c r="P352" s="283"/>
      <c r="Q352" s="285"/>
      <c r="R352" s="286"/>
      <c r="S352" s="232">
        <v>0.10019</v>
      </c>
      <c r="T352" s="388">
        <v>0.22874898523489931</v>
      </c>
      <c r="U352" s="241" t="s">
        <v>419</v>
      </c>
      <c r="V352" s="241"/>
      <c r="W352" s="218" t="s">
        <v>1135</v>
      </c>
      <c r="X352" s="73" t="s">
        <v>249</v>
      </c>
      <c r="Y352" s="389"/>
      <c r="Z352" s="67"/>
      <c r="AA352" s="67"/>
      <c r="AB352" s="67"/>
      <c r="AC352" s="67"/>
    </row>
    <row r="353" spans="2:29" ht="14.85" customHeight="1">
      <c r="B353" s="166"/>
      <c r="C353" s="173"/>
      <c r="D353" s="212">
        <v>3</v>
      </c>
      <c r="E353" s="212" t="s">
        <v>448</v>
      </c>
      <c r="F353" s="212" t="str">
        <f t="shared" si="40"/>
        <v>3 - Business Travel</v>
      </c>
      <c r="G353" s="241" t="s">
        <v>307</v>
      </c>
      <c r="H353" s="241" t="s">
        <v>449</v>
      </c>
      <c r="I353" s="241"/>
      <c r="J353" s="241" t="s">
        <v>308</v>
      </c>
      <c r="K353" s="244" t="s">
        <v>450</v>
      </c>
      <c r="L353" s="241" t="s">
        <v>266</v>
      </c>
      <c r="M353" s="241" t="str">
        <f t="shared" si="38"/>
        <v>Domestic, to/from UK - Average passenger - with RFAir Travel</v>
      </c>
      <c r="N353" s="284"/>
      <c r="O353" s="283"/>
      <c r="P353" s="283"/>
      <c r="Q353" s="285"/>
      <c r="R353" s="286"/>
      <c r="S353" s="232">
        <v>0.24586999999999998</v>
      </c>
      <c r="T353" s="388">
        <v>0.27257678523489931</v>
      </c>
      <c r="U353" s="241" t="s">
        <v>268</v>
      </c>
      <c r="V353" s="241"/>
      <c r="W353" s="218" t="s">
        <v>1136</v>
      </c>
      <c r="X353" s="73" t="s">
        <v>249</v>
      </c>
      <c r="Y353" s="389"/>
      <c r="Z353" s="67"/>
      <c r="AA353" s="67"/>
      <c r="AB353" s="67"/>
      <c r="AC353" s="67"/>
    </row>
    <row r="354" spans="2:29" ht="14.85" customHeight="1">
      <c r="B354" s="166"/>
      <c r="C354" s="173"/>
      <c r="D354" s="212">
        <v>3</v>
      </c>
      <c r="E354" s="212" t="s">
        <v>448</v>
      </c>
      <c r="F354" s="212" t="str">
        <f t="shared" si="40"/>
        <v>3 - Business Travel</v>
      </c>
      <c r="G354" s="241" t="s">
        <v>307</v>
      </c>
      <c r="H354" s="241" t="s">
        <v>451</v>
      </c>
      <c r="I354" s="241"/>
      <c r="J354" s="241" t="s">
        <v>308</v>
      </c>
      <c r="K354" s="244" t="s">
        <v>452</v>
      </c>
      <c r="L354" s="241" t="s">
        <v>266</v>
      </c>
      <c r="M354" s="241" t="str">
        <f t="shared" si="38"/>
        <v>Short-haul - to/from UK - Average passenger - with RFAir Travel</v>
      </c>
      <c r="N354" s="284"/>
      <c r="O354" s="283"/>
      <c r="P354" s="283"/>
      <c r="Q354" s="285"/>
      <c r="R354" s="286"/>
      <c r="S354" s="232">
        <v>0.15353000000000003</v>
      </c>
      <c r="T354" s="388">
        <v>0.1859171395973154</v>
      </c>
      <c r="U354" s="241" t="s">
        <v>268</v>
      </c>
      <c r="V354" s="241"/>
      <c r="W354" s="218" t="s">
        <v>1137</v>
      </c>
      <c r="X354" s="73" t="s">
        <v>249</v>
      </c>
      <c r="Y354" s="389"/>
      <c r="Z354" s="67"/>
      <c r="AA354" s="67"/>
      <c r="AB354" s="67"/>
      <c r="AC354" s="67"/>
    </row>
    <row r="355" spans="2:29" ht="14.85" customHeight="1">
      <c r="B355" s="166"/>
      <c r="C355" s="173"/>
      <c r="D355" s="212">
        <v>3</v>
      </c>
      <c r="E355" s="212" t="s">
        <v>448</v>
      </c>
      <c r="F355" s="212" t="str">
        <f t="shared" si="40"/>
        <v>3 - Business Travel</v>
      </c>
      <c r="G355" s="241" t="s">
        <v>307</v>
      </c>
      <c r="H355" s="241" t="s">
        <v>451</v>
      </c>
      <c r="I355" s="241"/>
      <c r="J355" s="241" t="s">
        <v>308</v>
      </c>
      <c r="K355" s="244" t="s">
        <v>453</v>
      </c>
      <c r="L355" s="241" t="s">
        <v>266</v>
      </c>
      <c r="M355" s="241" t="str">
        <f t="shared" si="38"/>
        <v>Short-haul - to/from UK - Economy class - with RFAir Travel</v>
      </c>
      <c r="N355" s="284"/>
      <c r="O355" s="283"/>
      <c r="P355" s="283"/>
      <c r="Q355" s="285"/>
      <c r="R355" s="286"/>
      <c r="S355" s="232">
        <v>0.15102000000000002</v>
      </c>
      <c r="T355" s="388">
        <v>0.18286935436241611</v>
      </c>
      <c r="U355" s="241" t="s">
        <v>268</v>
      </c>
      <c r="V355" s="241"/>
      <c r="W355" s="218" t="s">
        <v>1138</v>
      </c>
      <c r="X355" s="73" t="s">
        <v>249</v>
      </c>
      <c r="Y355" s="389"/>
      <c r="Z355" s="67"/>
      <c r="AA355" s="67"/>
      <c r="AB355" s="67"/>
      <c r="AC355" s="67"/>
    </row>
    <row r="356" spans="2:29" ht="14.85" customHeight="1">
      <c r="B356" s="166"/>
      <c r="C356" s="173"/>
      <c r="D356" s="212">
        <v>3</v>
      </c>
      <c r="E356" s="212" t="s">
        <v>448</v>
      </c>
      <c r="F356" s="212" t="str">
        <f t="shared" si="40"/>
        <v>3 - Business Travel</v>
      </c>
      <c r="G356" s="241" t="s">
        <v>307</v>
      </c>
      <c r="H356" s="241" t="s">
        <v>451</v>
      </c>
      <c r="I356" s="241"/>
      <c r="J356" s="241" t="s">
        <v>308</v>
      </c>
      <c r="K356" s="244" t="s">
        <v>454</v>
      </c>
      <c r="L356" s="241" t="s">
        <v>266</v>
      </c>
      <c r="M356" s="241" t="str">
        <f t="shared" si="38"/>
        <v>Short-haul - to/from UK - Business class - with RFAir Travel</v>
      </c>
      <c r="N356" s="284"/>
      <c r="O356" s="283"/>
      <c r="P356" s="283"/>
      <c r="Q356" s="285"/>
      <c r="R356" s="286"/>
      <c r="S356" s="232">
        <v>0.22652000000000003</v>
      </c>
      <c r="T356" s="388">
        <v>0.27430287785234903</v>
      </c>
      <c r="U356" s="241" t="s">
        <v>268</v>
      </c>
      <c r="V356" s="241"/>
      <c r="W356" s="218" t="s">
        <v>1139</v>
      </c>
      <c r="X356" s="73" t="s">
        <v>249</v>
      </c>
      <c r="Y356" s="389"/>
      <c r="Z356" s="67"/>
      <c r="AA356" s="67"/>
      <c r="AB356" s="67"/>
      <c r="AC356" s="67"/>
    </row>
    <row r="357" spans="2:29" ht="14.85" customHeight="1">
      <c r="B357" s="166"/>
      <c r="C357" s="173"/>
      <c r="D357" s="212">
        <v>3</v>
      </c>
      <c r="E357" s="212" t="s">
        <v>448</v>
      </c>
      <c r="F357" s="212" t="str">
        <f t="shared" si="40"/>
        <v>3 - Business Travel</v>
      </c>
      <c r="G357" s="241" t="s">
        <v>307</v>
      </c>
      <c r="H357" s="241" t="s">
        <v>455</v>
      </c>
      <c r="I357" s="241"/>
      <c r="J357" s="241" t="s">
        <v>308</v>
      </c>
      <c r="K357" s="244" t="s">
        <v>456</v>
      </c>
      <c r="L357" s="241" t="s">
        <v>266</v>
      </c>
      <c r="M357" s="241" t="str">
        <f t="shared" si="38"/>
        <v>Long-haul - to/from UK - Average passenger - with RFAir Travel</v>
      </c>
      <c r="N357" s="284"/>
      <c r="O357" s="283"/>
      <c r="P357" s="283"/>
      <c r="Q357" s="285"/>
      <c r="R357" s="286"/>
      <c r="S357" s="232">
        <v>0.19309000000000001</v>
      </c>
      <c r="T357" s="388">
        <v>0.26128062953020131</v>
      </c>
      <c r="U357" s="241" t="s">
        <v>268</v>
      </c>
      <c r="V357" s="241"/>
      <c r="W357" s="218" t="s">
        <v>1140</v>
      </c>
      <c r="X357" s="73" t="s">
        <v>249</v>
      </c>
      <c r="Y357" s="389"/>
      <c r="Z357" s="67"/>
      <c r="AA357" s="67"/>
      <c r="AB357" s="67"/>
      <c r="AC357" s="67"/>
    </row>
    <row r="358" spans="2:29" ht="14.85" customHeight="1">
      <c r="B358" s="166"/>
      <c r="C358" s="173"/>
      <c r="D358" s="212">
        <v>3</v>
      </c>
      <c r="E358" s="212" t="s">
        <v>448</v>
      </c>
      <c r="F358" s="212" t="str">
        <f t="shared" si="40"/>
        <v>3 - Business Travel</v>
      </c>
      <c r="G358" s="241" t="s">
        <v>307</v>
      </c>
      <c r="H358" s="241" t="s">
        <v>455</v>
      </c>
      <c r="I358" s="241"/>
      <c r="J358" s="241" t="s">
        <v>308</v>
      </c>
      <c r="K358" s="244" t="s">
        <v>457</v>
      </c>
      <c r="L358" s="241" t="s">
        <v>266</v>
      </c>
      <c r="M358" s="241" t="str">
        <f t="shared" si="38"/>
        <v>Long-haul - to/from UK - Economy class - with RFAir Travel</v>
      </c>
      <c r="N358" s="284"/>
      <c r="O358" s="283"/>
      <c r="P358" s="283"/>
      <c r="Q358" s="285"/>
      <c r="R358" s="286"/>
      <c r="S358" s="232">
        <v>0.14787000000000003</v>
      </c>
      <c r="T358" s="388">
        <v>0.20010828053691276</v>
      </c>
      <c r="U358" s="241" t="s">
        <v>268</v>
      </c>
      <c r="V358" s="241"/>
      <c r="W358" s="218" t="s">
        <v>1141</v>
      </c>
      <c r="X358" s="73" t="s">
        <v>249</v>
      </c>
      <c r="Y358" s="389"/>
      <c r="Z358" s="67"/>
      <c r="AA358" s="67"/>
      <c r="AB358" s="67"/>
      <c r="AC358" s="67"/>
    </row>
    <row r="359" spans="2:29" ht="14.85" customHeight="1">
      <c r="B359" s="166"/>
      <c r="C359" s="173"/>
      <c r="D359" s="212">
        <v>3</v>
      </c>
      <c r="E359" s="212" t="s">
        <v>448</v>
      </c>
      <c r="F359" s="212" t="str">
        <f t="shared" si="40"/>
        <v>3 - Business Travel</v>
      </c>
      <c r="G359" s="241" t="s">
        <v>307</v>
      </c>
      <c r="H359" s="241" t="s">
        <v>455</v>
      </c>
      <c r="I359" s="241"/>
      <c r="J359" s="241" t="s">
        <v>308</v>
      </c>
      <c r="K359" s="244" t="s">
        <v>458</v>
      </c>
      <c r="L359" s="241" t="s">
        <v>266</v>
      </c>
      <c r="M359" s="241" t="str">
        <f t="shared" si="38"/>
        <v>Long-haul - to/from UK - Premium economy class - with RFAir Travel</v>
      </c>
      <c r="N359" s="284"/>
      <c r="O359" s="283"/>
      <c r="P359" s="283"/>
      <c r="Q359" s="285"/>
      <c r="R359" s="286"/>
      <c r="S359" s="232">
        <v>0.23659000000000002</v>
      </c>
      <c r="T359" s="388">
        <v>0.3201551932885906</v>
      </c>
      <c r="U359" s="241" t="s">
        <v>268</v>
      </c>
      <c r="V359" s="241"/>
      <c r="W359" s="218" t="s">
        <v>1142</v>
      </c>
      <c r="X359" s="73" t="s">
        <v>249</v>
      </c>
      <c r="Y359" s="389"/>
      <c r="Z359" s="67"/>
      <c r="AA359" s="67"/>
      <c r="AB359" s="67"/>
      <c r="AC359" s="67"/>
    </row>
    <row r="360" spans="2:29" ht="14.85" customHeight="1">
      <c r="B360" s="166"/>
      <c r="C360" s="173"/>
      <c r="D360" s="212">
        <v>3</v>
      </c>
      <c r="E360" s="212" t="s">
        <v>448</v>
      </c>
      <c r="F360" s="212" t="str">
        <f t="shared" si="40"/>
        <v>3 - Business Travel</v>
      </c>
      <c r="G360" s="241" t="s">
        <v>307</v>
      </c>
      <c r="H360" s="241" t="s">
        <v>455</v>
      </c>
      <c r="I360" s="241"/>
      <c r="J360" s="241" t="s">
        <v>308</v>
      </c>
      <c r="K360" s="244" t="s">
        <v>267</v>
      </c>
      <c r="L360" s="241" t="s">
        <v>266</v>
      </c>
      <c r="M360" s="241" t="str">
        <f t="shared" si="38"/>
        <v>Long-haul - to/from UK - Business class - with RFAir Travel</v>
      </c>
      <c r="N360" s="284"/>
      <c r="O360" s="283"/>
      <c r="P360" s="283"/>
      <c r="Q360" s="285"/>
      <c r="R360" s="286"/>
      <c r="S360" s="232">
        <v>0.42882000000000003</v>
      </c>
      <c r="T360" s="388">
        <v>0.58028693020134225</v>
      </c>
      <c r="U360" s="241" t="s">
        <v>268</v>
      </c>
      <c r="V360" s="241"/>
      <c r="W360" s="218" t="s">
        <v>1143</v>
      </c>
      <c r="X360" s="73" t="s">
        <v>249</v>
      </c>
      <c r="Y360" s="389"/>
      <c r="Z360" s="67"/>
      <c r="AA360" s="67"/>
      <c r="AB360" s="67"/>
      <c r="AC360" s="67"/>
    </row>
    <row r="361" spans="2:29" ht="14.85" customHeight="1">
      <c r="B361" s="166"/>
      <c r="C361" s="173"/>
      <c r="D361" s="212">
        <v>3</v>
      </c>
      <c r="E361" s="212" t="s">
        <v>448</v>
      </c>
      <c r="F361" s="212" t="str">
        <f t="shared" si="40"/>
        <v>3 - Business Travel</v>
      </c>
      <c r="G361" s="241" t="s">
        <v>307</v>
      </c>
      <c r="H361" s="241" t="s">
        <v>455</v>
      </c>
      <c r="I361" s="241"/>
      <c r="J361" s="241" t="s">
        <v>308</v>
      </c>
      <c r="K361" s="244" t="s">
        <v>459</v>
      </c>
      <c r="L361" s="241" t="s">
        <v>266</v>
      </c>
      <c r="M361" s="241" t="str">
        <f t="shared" si="38"/>
        <v>Long-haul - to/from UK - First class - with RFAir Travel</v>
      </c>
      <c r="N361" s="284"/>
      <c r="O361" s="283"/>
      <c r="P361" s="283"/>
      <c r="Q361" s="285"/>
      <c r="R361" s="286"/>
      <c r="S361" s="232">
        <v>0.59147000000000005</v>
      </c>
      <c r="T361" s="388">
        <v>0.80040302953020126</v>
      </c>
      <c r="U361" s="241" t="s">
        <v>268</v>
      </c>
      <c r="V361" s="241"/>
      <c r="W361" s="218" t="s">
        <v>1144</v>
      </c>
      <c r="X361" s="73" t="s">
        <v>249</v>
      </c>
      <c r="Y361" s="389"/>
      <c r="Z361" s="67"/>
      <c r="AA361" s="67"/>
      <c r="AB361" s="67"/>
      <c r="AC361" s="67"/>
    </row>
    <row r="362" spans="2:29" ht="14.85" customHeight="1">
      <c r="B362" s="166"/>
      <c r="C362" s="173"/>
      <c r="D362" s="212">
        <v>3</v>
      </c>
      <c r="E362" s="212" t="s">
        <v>448</v>
      </c>
      <c r="F362" s="212" t="str">
        <f t="shared" si="40"/>
        <v>3 - Business Travel</v>
      </c>
      <c r="G362" s="241" t="s">
        <v>307</v>
      </c>
      <c r="H362" s="241" t="s">
        <v>460</v>
      </c>
      <c r="I362" s="241"/>
      <c r="J362" s="241" t="s">
        <v>308</v>
      </c>
      <c r="K362" s="244" t="s">
        <v>461</v>
      </c>
      <c r="L362" s="241" t="s">
        <v>266</v>
      </c>
      <c r="M362" s="241" t="str">
        <f t="shared" si="38"/>
        <v>International, to/from non-UK - Average passenger - with RFAir Travel</v>
      </c>
      <c r="N362" s="284"/>
      <c r="O362" s="283"/>
      <c r="P362" s="283"/>
      <c r="Q362" s="285"/>
      <c r="R362" s="286"/>
      <c r="S362" s="232">
        <v>0.18362000000000001</v>
      </c>
      <c r="T362" s="388">
        <v>0.17580378389261744</v>
      </c>
      <c r="U362" s="241" t="s">
        <v>268</v>
      </c>
      <c r="V362" s="241"/>
      <c r="W362" s="218" t="s">
        <v>1145</v>
      </c>
      <c r="X362" s="73" t="s">
        <v>249</v>
      </c>
      <c r="Y362" s="389"/>
      <c r="Z362" s="67"/>
      <c r="AA362" s="67"/>
      <c r="AB362" s="67"/>
      <c r="AC362" s="67"/>
    </row>
    <row r="363" spans="2:29" ht="14.85" customHeight="1">
      <c r="B363" s="166"/>
      <c r="C363" s="173"/>
      <c r="D363" s="212">
        <v>3</v>
      </c>
      <c r="E363" s="212" t="s">
        <v>448</v>
      </c>
      <c r="F363" s="212" t="str">
        <f t="shared" si="40"/>
        <v>3 - Business Travel</v>
      </c>
      <c r="G363" s="241" t="s">
        <v>307</v>
      </c>
      <c r="H363" s="241" t="s">
        <v>460</v>
      </c>
      <c r="I363" s="241"/>
      <c r="J363" s="241" t="s">
        <v>308</v>
      </c>
      <c r="K363" s="244" t="s">
        <v>462</v>
      </c>
      <c r="L363" s="241" t="s">
        <v>266</v>
      </c>
      <c r="M363" s="241" t="str">
        <f t="shared" si="38"/>
        <v>International, to/from non-UK - Economy class - with RFAir Travel</v>
      </c>
      <c r="N363" s="284"/>
      <c r="O363" s="283"/>
      <c r="P363" s="283"/>
      <c r="Q363" s="285"/>
      <c r="R363" s="286"/>
      <c r="S363" s="232">
        <v>0.140625</v>
      </c>
      <c r="T363" s="388">
        <v>0.13464333030872483</v>
      </c>
      <c r="U363" s="241" t="s">
        <v>268</v>
      </c>
      <c r="V363" s="241"/>
      <c r="W363" s="218" t="s">
        <v>1146</v>
      </c>
      <c r="X363" s="73" t="s">
        <v>249</v>
      </c>
      <c r="Y363" s="389"/>
      <c r="Z363" s="67"/>
      <c r="AA363" s="67"/>
      <c r="AB363" s="67"/>
      <c r="AC363" s="67"/>
    </row>
    <row r="364" spans="2:29" ht="14.85" customHeight="1">
      <c r="B364" s="166"/>
      <c r="C364" s="173"/>
      <c r="D364" s="212">
        <v>3</v>
      </c>
      <c r="E364" s="212" t="s">
        <v>448</v>
      </c>
      <c r="F364" s="212" t="str">
        <f t="shared" si="40"/>
        <v>3 - Business Travel</v>
      </c>
      <c r="G364" s="241" t="s">
        <v>307</v>
      </c>
      <c r="H364" s="241" t="s">
        <v>460</v>
      </c>
      <c r="I364" s="241"/>
      <c r="J364" s="241" t="s">
        <v>308</v>
      </c>
      <c r="K364" s="244" t="s">
        <v>463</v>
      </c>
      <c r="L364" s="241" t="s">
        <v>266</v>
      </c>
      <c r="M364" s="241" t="str">
        <f t="shared" si="38"/>
        <v>International, to/from non-UK - Premium economy class - with RFAir Travel</v>
      </c>
      <c r="N364" s="284"/>
      <c r="O364" s="283"/>
      <c r="P364" s="283"/>
      <c r="Q364" s="285"/>
      <c r="R364" s="286"/>
      <c r="S364" s="232">
        <v>0.22500000000000001</v>
      </c>
      <c r="T364" s="388">
        <v>0.21541942147651008</v>
      </c>
      <c r="U364" s="241" t="s">
        <v>268</v>
      </c>
      <c r="V364" s="241"/>
      <c r="W364" s="218" t="s">
        <v>1147</v>
      </c>
      <c r="X364" s="73" t="s">
        <v>249</v>
      </c>
      <c r="Y364" s="389"/>
      <c r="Z364" s="67"/>
      <c r="AA364" s="67"/>
      <c r="AB364" s="67"/>
      <c r="AC364" s="67"/>
    </row>
    <row r="365" spans="2:29" ht="14.85" customHeight="1">
      <c r="B365" s="166"/>
      <c r="C365" s="173"/>
      <c r="D365" s="212">
        <v>3</v>
      </c>
      <c r="E365" s="212" t="s">
        <v>448</v>
      </c>
      <c r="F365" s="212" t="str">
        <f t="shared" si="40"/>
        <v>3 - Business Travel</v>
      </c>
      <c r="G365" s="241" t="s">
        <v>307</v>
      </c>
      <c r="H365" s="241" t="s">
        <v>460</v>
      </c>
      <c r="I365" s="241"/>
      <c r="J365" s="241" t="s">
        <v>308</v>
      </c>
      <c r="K365" s="244" t="s">
        <v>464</v>
      </c>
      <c r="L365" s="241" t="s">
        <v>266</v>
      </c>
      <c r="M365" s="241" t="str">
        <f t="shared" si="38"/>
        <v>International, to/from non-UK - Business class - with RFAir Travel</v>
      </c>
      <c r="N365" s="284"/>
      <c r="O365" s="283"/>
      <c r="P365" s="283"/>
      <c r="Q365" s="285"/>
      <c r="R365" s="286"/>
      <c r="S365" s="232">
        <v>0.40781000000000001</v>
      </c>
      <c r="T365" s="388">
        <v>0.39044320536912752</v>
      </c>
      <c r="U365" s="241" t="s">
        <v>268</v>
      </c>
      <c r="V365" s="241"/>
      <c r="W365" s="218" t="s">
        <v>1148</v>
      </c>
      <c r="X365" s="73" t="s">
        <v>249</v>
      </c>
      <c r="Y365" s="389"/>
      <c r="Z365" s="67"/>
      <c r="AA365" s="67"/>
      <c r="AB365" s="67"/>
      <c r="AC365" s="67"/>
    </row>
    <row r="366" spans="2:29" ht="14.85" customHeight="1">
      <c r="B366" s="166"/>
      <c r="C366" s="173"/>
      <c r="D366" s="212">
        <v>3</v>
      </c>
      <c r="E366" s="212" t="s">
        <v>448</v>
      </c>
      <c r="F366" s="212" t="str">
        <f t="shared" ref="F366:F382" si="41">D366&amp;" - "&amp;E366</f>
        <v>3 - Business Travel</v>
      </c>
      <c r="G366" s="241" t="s">
        <v>307</v>
      </c>
      <c r="H366" s="241" t="s">
        <v>460</v>
      </c>
      <c r="I366" s="241"/>
      <c r="J366" s="241" t="s">
        <v>308</v>
      </c>
      <c r="K366" s="244" t="s">
        <v>465</v>
      </c>
      <c r="L366" s="241" t="s">
        <v>266</v>
      </c>
      <c r="M366" s="241" t="str">
        <f t="shared" si="38"/>
        <v>International, to/from non-UK - First class - with RFAir Travel</v>
      </c>
      <c r="N366" s="284"/>
      <c r="O366" s="283"/>
      <c r="P366" s="283"/>
      <c r="Q366" s="285"/>
      <c r="R366" s="286"/>
      <c r="S366" s="232">
        <v>0.56250999999999995</v>
      </c>
      <c r="T366" s="388">
        <v>0.53854239999999998</v>
      </c>
      <c r="U366" s="241" t="s">
        <v>268</v>
      </c>
      <c r="V366" s="241"/>
      <c r="W366" s="218" t="s">
        <v>1149</v>
      </c>
      <c r="X366" s="73" t="s">
        <v>249</v>
      </c>
      <c r="Y366" s="389"/>
      <c r="Z366" s="67"/>
      <c r="AA366" s="67"/>
      <c r="AB366" s="67"/>
      <c r="AC366" s="67"/>
    </row>
    <row r="367" spans="2:29" ht="14.85" customHeight="1">
      <c r="B367" s="166"/>
      <c r="C367" s="173"/>
      <c r="D367" s="212">
        <v>3</v>
      </c>
      <c r="E367" s="212" t="s">
        <v>448</v>
      </c>
      <c r="F367" s="212" t="str">
        <f t="shared" si="41"/>
        <v>3 - Business Travel</v>
      </c>
      <c r="G367" s="241" t="s">
        <v>307</v>
      </c>
      <c r="H367" s="241" t="s">
        <v>466</v>
      </c>
      <c r="I367" s="241"/>
      <c r="J367" s="241" t="s">
        <v>308</v>
      </c>
      <c r="K367" s="241" t="s">
        <v>467</v>
      </c>
      <c r="L367" s="241" t="s">
        <v>466</v>
      </c>
      <c r="M367" s="241" t="str">
        <f t="shared" si="38"/>
        <v>Foot passengerFerry</v>
      </c>
      <c r="N367" s="284"/>
      <c r="O367" s="283"/>
      <c r="P367" s="283"/>
      <c r="Q367" s="285"/>
      <c r="R367" s="286"/>
      <c r="S367" s="232">
        <v>1.8737999999999998E-2</v>
      </c>
      <c r="T367" s="388">
        <v>1.8710813959731544E-2</v>
      </c>
      <c r="U367" s="241" t="s">
        <v>268</v>
      </c>
      <c r="V367" s="241"/>
      <c r="W367" s="218" t="s">
        <v>1150</v>
      </c>
      <c r="X367" s="73" t="s">
        <v>249</v>
      </c>
      <c r="Y367" s="389"/>
      <c r="Z367" s="67"/>
      <c r="AA367" s="67"/>
      <c r="AB367" s="67"/>
      <c r="AC367" s="67"/>
    </row>
    <row r="368" spans="2:29" ht="14.85" customHeight="1">
      <c r="B368" s="166"/>
      <c r="C368" s="173"/>
      <c r="D368" s="212">
        <v>3</v>
      </c>
      <c r="E368" s="212" t="s">
        <v>448</v>
      </c>
      <c r="F368" s="212" t="str">
        <f t="shared" si="41"/>
        <v>3 - Business Travel</v>
      </c>
      <c r="G368" s="241" t="s">
        <v>307</v>
      </c>
      <c r="H368" s="241" t="s">
        <v>466</v>
      </c>
      <c r="I368" s="241"/>
      <c r="J368" s="241" t="s">
        <v>308</v>
      </c>
      <c r="K368" s="241" t="s">
        <v>468</v>
      </c>
      <c r="L368" s="241" t="s">
        <v>466</v>
      </c>
      <c r="M368" s="241" t="str">
        <f t="shared" si="38"/>
        <v>Car passengerFerry</v>
      </c>
      <c r="N368" s="284"/>
      <c r="O368" s="283"/>
      <c r="P368" s="283"/>
      <c r="Q368" s="285"/>
      <c r="R368" s="286"/>
      <c r="S368" s="232">
        <v>0.12951699999999999</v>
      </c>
      <c r="T368" s="388">
        <v>0.12932887543624161</v>
      </c>
      <c r="U368" s="241" t="s">
        <v>268</v>
      </c>
      <c r="V368" s="241"/>
      <c r="W368" s="218" t="s">
        <v>1151</v>
      </c>
      <c r="X368" s="73" t="s">
        <v>249</v>
      </c>
      <c r="Y368" s="389"/>
      <c r="Z368" s="67"/>
      <c r="AA368" s="67"/>
      <c r="AB368" s="67"/>
      <c r="AC368" s="67"/>
    </row>
    <row r="369" spans="2:29" ht="14.85" customHeight="1">
      <c r="B369" s="166"/>
      <c r="C369" s="173"/>
      <c r="D369" s="212">
        <v>3</v>
      </c>
      <c r="E369" s="212" t="s">
        <v>448</v>
      </c>
      <c r="F369" s="212" t="str">
        <f t="shared" si="41"/>
        <v>3 - Business Travel</v>
      </c>
      <c r="G369" s="241" t="s">
        <v>307</v>
      </c>
      <c r="H369" s="241" t="s">
        <v>466</v>
      </c>
      <c r="I369" s="241"/>
      <c r="J369" s="241" t="s">
        <v>308</v>
      </c>
      <c r="K369" s="241" t="s">
        <v>469</v>
      </c>
      <c r="L369" s="241" t="s">
        <v>466</v>
      </c>
      <c r="M369" s="241" t="str">
        <f t="shared" si="38"/>
        <v>Average (all passenger)Ferry</v>
      </c>
      <c r="N369" s="284"/>
      <c r="O369" s="283"/>
      <c r="P369" s="283"/>
      <c r="Q369" s="285"/>
      <c r="R369" s="286"/>
      <c r="S369" s="232">
        <v>0.112862</v>
      </c>
      <c r="T369" s="388">
        <v>0.11269808080536912</v>
      </c>
      <c r="U369" s="241" t="s">
        <v>268</v>
      </c>
      <c r="V369" s="241"/>
      <c r="W369" s="218" t="s">
        <v>1152</v>
      </c>
      <c r="X369" s="73" t="s">
        <v>249</v>
      </c>
      <c r="Y369" s="389"/>
      <c r="Z369" s="67"/>
      <c r="AA369" s="67"/>
      <c r="AB369" s="67"/>
      <c r="AC369" s="67"/>
    </row>
    <row r="370" spans="2:29" ht="14.85" customHeight="1">
      <c r="B370" s="166"/>
      <c r="C370" s="173"/>
      <c r="D370" s="212">
        <v>3</v>
      </c>
      <c r="E370" s="212" t="s">
        <v>448</v>
      </c>
      <c r="F370" s="212" t="str">
        <f t="shared" si="41"/>
        <v>3 - Business Travel</v>
      </c>
      <c r="G370" s="241" t="s">
        <v>307</v>
      </c>
      <c r="H370" s="241" t="s">
        <v>470</v>
      </c>
      <c r="I370" s="241"/>
      <c r="J370" s="241" t="s">
        <v>308</v>
      </c>
      <c r="K370" s="241" t="s">
        <v>203</v>
      </c>
      <c r="L370" s="241" t="s">
        <v>272</v>
      </c>
      <c r="M370" s="241" t="str">
        <f t="shared" si="38"/>
        <v>DieselPassenger cars</v>
      </c>
      <c r="N370" s="284"/>
      <c r="O370" s="283"/>
      <c r="P370" s="283"/>
      <c r="Q370" s="285"/>
      <c r="R370" s="286"/>
      <c r="S370" s="232">
        <v>0.17082414000000001</v>
      </c>
      <c r="T370" s="388">
        <v>0.16982644888053691</v>
      </c>
      <c r="U370" s="241" t="s">
        <v>264</v>
      </c>
      <c r="V370" s="241"/>
      <c r="W370" s="218" t="s">
        <v>1153</v>
      </c>
      <c r="X370" s="73" t="s">
        <v>249</v>
      </c>
      <c r="Y370" s="389"/>
      <c r="Z370" s="67"/>
      <c r="AA370" s="67"/>
      <c r="AB370" s="67"/>
      <c r="AC370" s="67"/>
    </row>
    <row r="371" spans="2:29" ht="14.85" customHeight="1">
      <c r="B371" s="166"/>
      <c r="C371" s="173"/>
      <c r="D371" s="212">
        <v>3</v>
      </c>
      <c r="E371" s="212" t="s">
        <v>448</v>
      </c>
      <c r="F371" s="212" t="str">
        <f t="shared" si="41"/>
        <v>3 - Business Travel</v>
      </c>
      <c r="G371" s="241" t="s">
        <v>307</v>
      </c>
      <c r="H371" s="241" t="s">
        <v>470</v>
      </c>
      <c r="I371" s="241"/>
      <c r="J371" s="241" t="s">
        <v>308</v>
      </c>
      <c r="K371" s="241" t="s">
        <v>471</v>
      </c>
      <c r="L371" s="241" t="s">
        <v>272</v>
      </c>
      <c r="M371" s="241" t="str">
        <f t="shared" si="38"/>
        <v>PetrolPassenger cars</v>
      </c>
      <c r="N371" s="284"/>
      <c r="O371" s="283"/>
      <c r="P371" s="283"/>
      <c r="Q371" s="285"/>
      <c r="R371" s="286"/>
      <c r="S371" s="232">
        <v>0.17047999999999999</v>
      </c>
      <c r="T371" s="388">
        <v>0.16390853422818791</v>
      </c>
      <c r="U371" s="241" t="s">
        <v>264</v>
      </c>
      <c r="V371" s="241"/>
      <c r="W371" s="218" t="s">
        <v>1154</v>
      </c>
      <c r="X371" s="73" t="s">
        <v>249</v>
      </c>
      <c r="Y371" s="389"/>
      <c r="Z371" s="67"/>
      <c r="AA371" s="67"/>
      <c r="AB371" s="67"/>
      <c r="AC371" s="67"/>
    </row>
    <row r="372" spans="2:29" ht="14.85" customHeight="1">
      <c r="B372" s="166"/>
      <c r="C372" s="173"/>
      <c r="D372" s="212">
        <v>3</v>
      </c>
      <c r="E372" s="212" t="s">
        <v>448</v>
      </c>
      <c r="F372" s="212" t="str">
        <f t="shared" si="41"/>
        <v>3 - Business Travel</v>
      </c>
      <c r="G372" s="241" t="s">
        <v>307</v>
      </c>
      <c r="H372" s="241" t="s">
        <v>470</v>
      </c>
      <c r="I372" s="241"/>
      <c r="J372" s="241" t="s">
        <v>308</v>
      </c>
      <c r="K372" s="241" t="s">
        <v>472</v>
      </c>
      <c r="L372" s="241" t="s">
        <v>272</v>
      </c>
      <c r="M372" s="241" t="str">
        <f t="shared" si="38"/>
        <v>HybridPassenger cars</v>
      </c>
      <c r="N372" s="284"/>
      <c r="O372" s="283"/>
      <c r="P372" s="283"/>
      <c r="Q372" s="285"/>
      <c r="R372" s="286"/>
      <c r="S372" s="232">
        <v>0.12003999999999999</v>
      </c>
      <c r="T372" s="388">
        <v>0.11897858791946307</v>
      </c>
      <c r="U372" s="241" t="s">
        <v>264</v>
      </c>
      <c r="V372" s="241"/>
      <c r="W372" s="218" t="s">
        <v>1155</v>
      </c>
      <c r="X372" s="73" t="s">
        <v>249</v>
      </c>
      <c r="Y372" s="389"/>
      <c r="Z372" s="67"/>
      <c r="AA372" s="67"/>
      <c r="AB372" s="67"/>
      <c r="AC372" s="67"/>
    </row>
    <row r="373" spans="2:29" ht="14.85" customHeight="1">
      <c r="B373" s="166"/>
      <c r="C373" s="173"/>
      <c r="D373" s="212">
        <v>3</v>
      </c>
      <c r="E373" s="212" t="s">
        <v>448</v>
      </c>
      <c r="F373" s="212" t="str">
        <f t="shared" si="41"/>
        <v>3 - Business Travel</v>
      </c>
      <c r="G373" s="241" t="s">
        <v>307</v>
      </c>
      <c r="H373" s="241" t="s">
        <v>470</v>
      </c>
      <c r="I373" s="241"/>
      <c r="J373" s="241" t="s">
        <v>308</v>
      </c>
      <c r="K373" s="241" t="s">
        <v>473</v>
      </c>
      <c r="L373" s="241" t="s">
        <v>272</v>
      </c>
      <c r="M373" s="241" t="str">
        <f t="shared" si="38"/>
        <v>CNGPassenger cars</v>
      </c>
      <c r="N373" s="284"/>
      <c r="O373" s="283"/>
      <c r="P373" s="283"/>
      <c r="Q373" s="285"/>
      <c r="R373" s="286"/>
      <c r="S373" s="232">
        <v>0.17516999999999999</v>
      </c>
      <c r="T373" s="388">
        <v>0.17504419731543627</v>
      </c>
      <c r="U373" s="241" t="s">
        <v>264</v>
      </c>
      <c r="V373" s="241"/>
      <c r="W373" s="218" t="s">
        <v>1156</v>
      </c>
      <c r="X373" s="73" t="s">
        <v>249</v>
      </c>
      <c r="Y373" s="389"/>
      <c r="Z373" s="67"/>
      <c r="AA373" s="67"/>
      <c r="AB373" s="67"/>
      <c r="AC373" s="67"/>
    </row>
    <row r="374" spans="2:29" ht="14.85" customHeight="1">
      <c r="B374" s="166"/>
      <c r="C374" s="173"/>
      <c r="D374" s="212">
        <v>3</v>
      </c>
      <c r="E374" s="212" t="s">
        <v>448</v>
      </c>
      <c r="F374" s="212" t="str">
        <f t="shared" si="41"/>
        <v>3 - Business Travel</v>
      </c>
      <c r="G374" s="241" t="s">
        <v>307</v>
      </c>
      <c r="H374" s="241" t="s">
        <v>470</v>
      </c>
      <c r="I374" s="241"/>
      <c r="J374" s="241" t="s">
        <v>308</v>
      </c>
      <c r="K374" s="241" t="s">
        <v>312</v>
      </c>
      <c r="L374" s="241" t="s">
        <v>272</v>
      </c>
      <c r="M374" s="241" t="str">
        <f t="shared" si="38"/>
        <v>LPGPassenger cars</v>
      </c>
      <c r="N374" s="284"/>
      <c r="O374" s="283"/>
      <c r="P374" s="283"/>
      <c r="Q374" s="285"/>
      <c r="R374" s="286"/>
      <c r="S374" s="232">
        <v>0.19775000000000001</v>
      </c>
      <c r="T374" s="388">
        <v>0.19704059731543624</v>
      </c>
      <c r="U374" s="241" t="s">
        <v>264</v>
      </c>
      <c r="V374" s="241"/>
      <c r="W374" s="218" t="s">
        <v>1157</v>
      </c>
      <c r="X374" s="73" t="s">
        <v>249</v>
      </c>
      <c r="Y374" s="389"/>
      <c r="Z374" s="67"/>
      <c r="AA374" s="67"/>
      <c r="AB374" s="67"/>
      <c r="AC374" s="67"/>
    </row>
    <row r="375" spans="2:29" ht="14.85" customHeight="1">
      <c r="B375" s="166"/>
      <c r="C375" s="173"/>
      <c r="D375" s="212">
        <v>3</v>
      </c>
      <c r="E375" s="212" t="s">
        <v>448</v>
      </c>
      <c r="F375" s="212" t="str">
        <f t="shared" si="41"/>
        <v>3 - Business Travel</v>
      </c>
      <c r="G375" s="241" t="s">
        <v>307</v>
      </c>
      <c r="H375" s="241" t="s">
        <v>470</v>
      </c>
      <c r="I375" s="241"/>
      <c r="J375" s="241" t="s">
        <v>308</v>
      </c>
      <c r="K375" s="241" t="s">
        <v>474</v>
      </c>
      <c r="L375" s="241" t="s">
        <v>272</v>
      </c>
      <c r="M375" s="241" t="str">
        <f t="shared" si="38"/>
        <v>UnknownPassenger cars</v>
      </c>
      <c r="N375" s="284"/>
      <c r="O375" s="283"/>
      <c r="P375" s="283"/>
      <c r="Q375" s="285"/>
      <c r="R375" s="286"/>
      <c r="S375" s="232">
        <v>0.17066999999999999</v>
      </c>
      <c r="T375" s="388">
        <v>0.16663858791946309</v>
      </c>
      <c r="U375" s="241" t="s">
        <v>264</v>
      </c>
      <c r="V375" s="241"/>
      <c r="W375" s="218" t="s">
        <v>1158</v>
      </c>
      <c r="X375" s="73" t="s">
        <v>249</v>
      </c>
      <c r="Y375" s="389"/>
      <c r="Z375" s="67"/>
      <c r="AA375" s="67"/>
      <c r="AB375" s="67"/>
      <c r="AC375" s="67"/>
    </row>
    <row r="376" spans="2:29" ht="14.85" customHeight="1">
      <c r="B376" s="166"/>
      <c r="C376" s="173"/>
      <c r="D376" s="212">
        <v>3</v>
      </c>
      <c r="E376" s="212" t="s">
        <v>448</v>
      </c>
      <c r="F376" s="212" t="str">
        <f t="shared" si="41"/>
        <v>3 - Business Travel</v>
      </c>
      <c r="G376" s="241" t="s">
        <v>307</v>
      </c>
      <c r="H376" s="241" t="s">
        <v>470</v>
      </c>
      <c r="I376" s="241"/>
      <c r="J376" s="241" t="s">
        <v>308</v>
      </c>
      <c r="K376" s="241" t="s">
        <v>475</v>
      </c>
      <c r="L376" s="241" t="s">
        <v>272</v>
      </c>
      <c r="M376" s="241" t="str">
        <f t="shared" si="38"/>
        <v>Plug-in Hybrid Electric VehiclePassenger cars</v>
      </c>
      <c r="N376" s="284"/>
      <c r="O376" s="283"/>
      <c r="P376" s="283"/>
      <c r="Q376" s="285"/>
      <c r="R376" s="286"/>
      <c r="S376" s="232">
        <v>9.3490000000000004E-2</v>
      </c>
      <c r="T376" s="388">
        <v>9.3916412080536915E-2</v>
      </c>
      <c r="U376" s="241" t="s">
        <v>264</v>
      </c>
      <c r="V376" s="241"/>
      <c r="W376" s="218" t="s">
        <v>1159</v>
      </c>
      <c r="X376" s="73" t="s">
        <v>249</v>
      </c>
      <c r="Y376" s="389"/>
      <c r="Z376" s="67"/>
      <c r="AA376" s="67"/>
      <c r="AB376" s="67"/>
      <c r="AC376" s="67"/>
    </row>
    <row r="377" spans="2:29" ht="14.85" customHeight="1">
      <c r="B377" s="166"/>
      <c r="C377" s="173"/>
      <c r="D377" s="212">
        <v>3</v>
      </c>
      <c r="E377" s="212" t="s">
        <v>448</v>
      </c>
      <c r="F377" s="212" t="str">
        <f t="shared" si="41"/>
        <v>3 - Business Travel</v>
      </c>
      <c r="G377" s="241" t="s">
        <v>307</v>
      </c>
      <c r="H377" s="241" t="s">
        <v>470</v>
      </c>
      <c r="I377" s="241"/>
      <c r="J377" s="241" t="s">
        <v>308</v>
      </c>
      <c r="K377" s="241" t="s">
        <v>476</v>
      </c>
      <c r="L377" s="241" t="s">
        <v>272</v>
      </c>
      <c r="M377" s="241" t="str">
        <f t="shared" si="38"/>
        <v>Battery Electric VehiclePassenger cars</v>
      </c>
      <c r="N377" s="284"/>
      <c r="O377" s="283"/>
      <c r="P377" s="283"/>
      <c r="Q377" s="285"/>
      <c r="R377" s="286"/>
      <c r="S377" s="232">
        <v>5.1400000000000001E-2</v>
      </c>
      <c r="T377" s="388">
        <v>5.4796441610738253E-2</v>
      </c>
      <c r="U377" s="241" t="s">
        <v>264</v>
      </c>
      <c r="V377" s="241"/>
      <c r="W377" s="218" t="s">
        <v>1160</v>
      </c>
      <c r="X377" s="73" t="s">
        <v>249</v>
      </c>
      <c r="Y377" s="389"/>
      <c r="Z377" s="67"/>
      <c r="AA377" s="67"/>
      <c r="AB377" s="67"/>
      <c r="AC377" s="67"/>
    </row>
    <row r="378" spans="2:29" ht="14.85" customHeight="1">
      <c r="B378" s="166"/>
      <c r="C378" s="173"/>
      <c r="D378" s="212">
        <v>3</v>
      </c>
      <c r="E378" s="212" t="s">
        <v>448</v>
      </c>
      <c r="F378" s="212" t="str">
        <f t="shared" si="41"/>
        <v>3 - Business Travel</v>
      </c>
      <c r="G378" s="241" t="s">
        <v>307</v>
      </c>
      <c r="H378" s="241" t="s">
        <v>477</v>
      </c>
      <c r="I378" s="241"/>
      <c r="J378" s="241" t="s">
        <v>308</v>
      </c>
      <c r="K378" s="241" t="s">
        <v>478</v>
      </c>
      <c r="L378" s="241" t="s">
        <v>347</v>
      </c>
      <c r="M378" s="241" t="str">
        <f t="shared" si="38"/>
        <v>Average motorbikeMotorcycles</v>
      </c>
      <c r="N378" s="284"/>
      <c r="O378" s="283"/>
      <c r="P378" s="283"/>
      <c r="Q378" s="285"/>
      <c r="R378" s="286"/>
      <c r="S378" s="232">
        <v>0.11355</v>
      </c>
      <c r="T378" s="388">
        <v>0.1136742644295302</v>
      </c>
      <c r="U378" s="241" t="s">
        <v>264</v>
      </c>
      <c r="V378" s="241"/>
      <c r="W378" s="218" t="s">
        <v>1161</v>
      </c>
      <c r="X378" s="73" t="s">
        <v>249</v>
      </c>
      <c r="Y378" s="389"/>
      <c r="Z378" s="67"/>
      <c r="AA378" s="67"/>
      <c r="AB378" s="67"/>
      <c r="AC378" s="67"/>
    </row>
    <row r="379" spans="2:29" ht="14.85" customHeight="1">
      <c r="B379" s="166"/>
      <c r="C379" s="173"/>
      <c r="D379" s="212">
        <v>3</v>
      </c>
      <c r="E379" s="212" t="s">
        <v>448</v>
      </c>
      <c r="F379" s="212" t="str">
        <f t="shared" si="41"/>
        <v>3 - Business Travel</v>
      </c>
      <c r="G379" s="241" t="s">
        <v>307</v>
      </c>
      <c r="H379" s="241" t="s">
        <v>262</v>
      </c>
      <c r="I379" s="241"/>
      <c r="J379" s="241" t="s">
        <v>308</v>
      </c>
      <c r="K379" s="241" t="s">
        <v>263</v>
      </c>
      <c r="L379" s="241" t="s">
        <v>262</v>
      </c>
      <c r="M379" s="241" t="str">
        <f t="shared" si="38"/>
        <v>Regular taxiTaxi</v>
      </c>
      <c r="N379" s="284"/>
      <c r="O379" s="283"/>
      <c r="P379" s="283"/>
      <c r="Q379" s="285"/>
      <c r="R379" s="286"/>
      <c r="S379" s="232">
        <v>0.20826</v>
      </c>
      <c r="T379" s="388">
        <v>0.20805644888053693</v>
      </c>
      <c r="U379" s="241" t="s">
        <v>264</v>
      </c>
      <c r="V379" s="241"/>
      <c r="W379" s="218" t="s">
        <v>1162</v>
      </c>
      <c r="X379" s="73" t="s">
        <v>249</v>
      </c>
      <c r="Y379" s="389"/>
      <c r="Z379" s="67"/>
      <c r="AA379" s="67"/>
      <c r="AB379" s="67"/>
      <c r="AC379" s="67"/>
    </row>
    <row r="380" spans="2:29" ht="14.85" customHeight="1">
      <c r="B380" s="166"/>
      <c r="C380" s="173"/>
      <c r="D380" s="212">
        <v>3</v>
      </c>
      <c r="E380" s="212" t="s">
        <v>448</v>
      </c>
      <c r="F380" s="212" t="str">
        <f t="shared" si="41"/>
        <v>3 - Business Travel</v>
      </c>
      <c r="G380" s="241" t="s">
        <v>307</v>
      </c>
      <c r="H380" s="241" t="s">
        <v>262</v>
      </c>
      <c r="I380" s="241"/>
      <c r="J380" s="241" t="s">
        <v>308</v>
      </c>
      <c r="K380" s="241" t="s">
        <v>263</v>
      </c>
      <c r="L380" s="241" t="s">
        <v>262</v>
      </c>
      <c r="M380" s="241" t="str">
        <f t="shared" si="38"/>
        <v>Regular taxiTaxi</v>
      </c>
      <c r="N380" s="284"/>
      <c r="O380" s="283"/>
      <c r="P380" s="283"/>
      <c r="Q380" s="285"/>
      <c r="R380" s="286"/>
      <c r="S380" s="232">
        <v>0.14876</v>
      </c>
      <c r="T380" s="388">
        <v>0.14861492593825501</v>
      </c>
      <c r="U380" s="241" t="s">
        <v>268</v>
      </c>
      <c r="V380" s="241"/>
      <c r="W380" s="218" t="s">
        <v>1162</v>
      </c>
      <c r="X380" s="73" t="s">
        <v>249</v>
      </c>
      <c r="Y380" s="389"/>
      <c r="Z380" s="67"/>
      <c r="AA380" s="67"/>
      <c r="AB380" s="67"/>
      <c r="AC380" s="67"/>
    </row>
    <row r="381" spans="2:29" ht="14.85" customHeight="1">
      <c r="B381" s="166"/>
      <c r="C381" s="173"/>
      <c r="D381" s="212">
        <v>3</v>
      </c>
      <c r="E381" s="212" t="s">
        <v>448</v>
      </c>
      <c r="F381" s="212" t="str">
        <f t="shared" si="41"/>
        <v>3 - Business Travel</v>
      </c>
      <c r="G381" s="241" t="s">
        <v>307</v>
      </c>
      <c r="H381" s="241" t="s">
        <v>360</v>
      </c>
      <c r="I381" s="241"/>
      <c r="J381" s="241" t="s">
        <v>308</v>
      </c>
      <c r="K381" s="241" t="s">
        <v>479</v>
      </c>
      <c r="L381" s="241" t="s">
        <v>360</v>
      </c>
      <c r="M381" s="241" t="str">
        <f t="shared" ref="M381:M398" si="42">K381&amp;L381</f>
        <v>Average local busBus</v>
      </c>
      <c r="N381" s="284"/>
      <c r="O381" s="283"/>
      <c r="P381" s="283"/>
      <c r="Q381" s="285"/>
      <c r="R381" s="286"/>
      <c r="S381" s="232">
        <v>9.6500000000000002E-2</v>
      </c>
      <c r="T381" s="388">
        <v>0.10215039463087248</v>
      </c>
      <c r="U381" s="241" t="s">
        <v>268</v>
      </c>
      <c r="V381" s="241"/>
      <c r="W381" s="218" t="s">
        <v>1163</v>
      </c>
      <c r="X381" s="73" t="s">
        <v>249</v>
      </c>
      <c r="Y381" s="389"/>
      <c r="Z381" s="67"/>
      <c r="AA381" s="67"/>
      <c r="AB381" s="67"/>
      <c r="AC381" s="67"/>
    </row>
    <row r="382" spans="2:29" ht="14.85" customHeight="1">
      <c r="B382" s="166"/>
      <c r="C382" s="173"/>
      <c r="D382" s="212">
        <v>3</v>
      </c>
      <c r="E382" s="212" t="s">
        <v>448</v>
      </c>
      <c r="F382" s="212" t="str">
        <f t="shared" si="41"/>
        <v>3 - Business Travel</v>
      </c>
      <c r="G382" s="241" t="s">
        <v>307</v>
      </c>
      <c r="H382" s="241" t="s">
        <v>360</v>
      </c>
      <c r="I382" s="241"/>
      <c r="J382" s="241" t="s">
        <v>308</v>
      </c>
      <c r="K382" s="241" t="s">
        <v>480</v>
      </c>
      <c r="L382" s="241" t="s">
        <v>360</v>
      </c>
      <c r="M382" s="241" t="str">
        <f t="shared" si="42"/>
        <v>CoachBus</v>
      </c>
      <c r="N382" s="284"/>
      <c r="O382" s="283"/>
      <c r="P382" s="283"/>
      <c r="Q382" s="285"/>
      <c r="R382" s="286"/>
      <c r="S382" s="232">
        <v>2.733E-2</v>
      </c>
      <c r="T382" s="388">
        <v>2.7181401342281877E-2</v>
      </c>
      <c r="U382" s="241" t="s">
        <v>268</v>
      </c>
      <c r="V382" s="241"/>
      <c r="W382" s="218" t="s">
        <v>1164</v>
      </c>
      <c r="X382" s="73" t="s">
        <v>249</v>
      </c>
      <c r="Y382" s="389"/>
      <c r="Z382" s="67"/>
      <c r="AA382" s="67"/>
      <c r="AB382" s="67"/>
      <c r="AC382" s="67"/>
    </row>
    <row r="383" spans="2:29" ht="14.85" customHeight="1">
      <c r="B383" s="166"/>
      <c r="C383" s="173"/>
      <c r="D383" s="212">
        <v>3</v>
      </c>
      <c r="E383" s="212" t="s">
        <v>481</v>
      </c>
      <c r="F383" s="212" t="s">
        <v>482</v>
      </c>
      <c r="G383" s="241" t="s">
        <v>307</v>
      </c>
      <c r="H383" s="241" t="s">
        <v>466</v>
      </c>
      <c r="I383" s="241"/>
      <c r="J383" s="241" t="s">
        <v>308</v>
      </c>
      <c r="K383" s="241" t="s">
        <v>467</v>
      </c>
      <c r="L383" s="241" t="s">
        <v>466</v>
      </c>
      <c r="M383" s="241" t="str">
        <f t="shared" si="42"/>
        <v>Foot passengerFerry</v>
      </c>
      <c r="N383" s="284"/>
      <c r="O383" s="283"/>
      <c r="P383" s="283"/>
      <c r="Q383" s="285"/>
      <c r="R383" s="286"/>
      <c r="S383" s="232">
        <v>1.8737999999999998E-2</v>
      </c>
      <c r="T383" s="388">
        <v>1.8710813959731544E-2</v>
      </c>
      <c r="U383" s="241" t="s">
        <v>268</v>
      </c>
      <c r="V383" s="241"/>
      <c r="W383" s="218" t="s">
        <v>1150</v>
      </c>
      <c r="X383" s="73" t="s">
        <v>249</v>
      </c>
      <c r="Y383" s="389"/>
      <c r="Z383" s="67"/>
      <c r="AA383" s="67"/>
      <c r="AB383" s="67"/>
      <c r="AC383" s="67"/>
    </row>
    <row r="384" spans="2:29" ht="14.85" customHeight="1">
      <c r="B384" s="166"/>
      <c r="C384" s="173"/>
      <c r="D384" s="212">
        <v>3</v>
      </c>
      <c r="E384" s="212" t="s">
        <v>481</v>
      </c>
      <c r="F384" s="212" t="s">
        <v>482</v>
      </c>
      <c r="G384" s="241" t="s">
        <v>307</v>
      </c>
      <c r="H384" s="241" t="s">
        <v>466</v>
      </c>
      <c r="I384" s="241"/>
      <c r="J384" s="241" t="s">
        <v>308</v>
      </c>
      <c r="K384" s="241" t="s">
        <v>468</v>
      </c>
      <c r="L384" s="241" t="s">
        <v>466</v>
      </c>
      <c r="M384" s="241" t="str">
        <f t="shared" si="42"/>
        <v>Car passengerFerry</v>
      </c>
      <c r="N384" s="284"/>
      <c r="O384" s="283"/>
      <c r="P384" s="283"/>
      <c r="Q384" s="285"/>
      <c r="R384" s="286"/>
      <c r="S384" s="232">
        <v>0.12951699999999999</v>
      </c>
      <c r="T384" s="388">
        <v>0.12932887543624161</v>
      </c>
      <c r="U384" s="241" t="s">
        <v>268</v>
      </c>
      <c r="V384" s="241"/>
      <c r="W384" s="218" t="s">
        <v>1151</v>
      </c>
      <c r="X384" s="73" t="s">
        <v>249</v>
      </c>
      <c r="Y384" s="389"/>
      <c r="Z384" s="67"/>
      <c r="AA384" s="67"/>
      <c r="AB384" s="67"/>
      <c r="AC384" s="67"/>
    </row>
    <row r="385" spans="2:29" ht="14.85" customHeight="1">
      <c r="B385" s="166"/>
      <c r="C385" s="173"/>
      <c r="D385" s="212">
        <v>3</v>
      </c>
      <c r="E385" s="212" t="s">
        <v>481</v>
      </c>
      <c r="F385" s="212" t="s">
        <v>482</v>
      </c>
      <c r="G385" s="241" t="s">
        <v>307</v>
      </c>
      <c r="H385" s="241" t="s">
        <v>466</v>
      </c>
      <c r="I385" s="241"/>
      <c r="J385" s="241" t="s">
        <v>308</v>
      </c>
      <c r="K385" s="241" t="s">
        <v>469</v>
      </c>
      <c r="L385" s="241" t="s">
        <v>466</v>
      </c>
      <c r="M385" s="241" t="str">
        <f t="shared" si="42"/>
        <v>Average (all passenger)Ferry</v>
      </c>
      <c r="N385" s="284"/>
      <c r="O385" s="283"/>
      <c r="P385" s="283"/>
      <c r="Q385" s="285"/>
      <c r="R385" s="286"/>
      <c r="S385" s="232">
        <v>0.112862</v>
      </c>
      <c r="T385" s="388">
        <v>0.11269808080536912</v>
      </c>
      <c r="U385" s="241" t="s">
        <v>268</v>
      </c>
      <c r="V385" s="241"/>
      <c r="W385" s="218" t="s">
        <v>1152</v>
      </c>
      <c r="X385" s="73" t="s">
        <v>249</v>
      </c>
      <c r="Y385" s="389"/>
      <c r="Z385" s="67"/>
      <c r="AA385" s="67"/>
      <c r="AB385" s="67"/>
      <c r="AC385" s="67"/>
    </row>
    <row r="386" spans="2:29" ht="14.85" customHeight="1">
      <c r="B386" s="166"/>
      <c r="C386" s="173"/>
      <c r="D386" s="212">
        <v>3</v>
      </c>
      <c r="E386" s="212" t="s">
        <v>481</v>
      </c>
      <c r="F386" s="212" t="s">
        <v>482</v>
      </c>
      <c r="G386" s="241" t="s">
        <v>307</v>
      </c>
      <c r="H386" s="241" t="s">
        <v>470</v>
      </c>
      <c r="I386" s="241"/>
      <c r="J386" s="241" t="s">
        <v>308</v>
      </c>
      <c r="K386" s="241" t="s">
        <v>203</v>
      </c>
      <c r="L386" s="241" t="s">
        <v>272</v>
      </c>
      <c r="M386" s="241" t="str">
        <f t="shared" si="42"/>
        <v>DieselPassenger cars</v>
      </c>
      <c r="N386" s="284"/>
      <c r="O386" s="283"/>
      <c r="P386" s="283"/>
      <c r="Q386" s="285"/>
      <c r="R386" s="286"/>
      <c r="S386" s="232">
        <v>0.17082414000000001</v>
      </c>
      <c r="T386" s="388">
        <v>0.16982644888053691</v>
      </c>
      <c r="U386" s="241" t="s">
        <v>264</v>
      </c>
      <c r="V386" s="241"/>
      <c r="W386" s="218" t="s">
        <v>1153</v>
      </c>
      <c r="X386" s="73" t="s">
        <v>249</v>
      </c>
      <c r="Y386" s="389"/>
      <c r="Z386" s="67"/>
      <c r="AA386" s="67"/>
      <c r="AB386" s="67"/>
      <c r="AC386" s="67"/>
    </row>
    <row r="387" spans="2:29" ht="14.85" customHeight="1">
      <c r="B387" s="166"/>
      <c r="C387" s="173"/>
      <c r="D387" s="212">
        <v>3</v>
      </c>
      <c r="E387" s="212" t="s">
        <v>481</v>
      </c>
      <c r="F387" s="212" t="s">
        <v>482</v>
      </c>
      <c r="G387" s="241" t="s">
        <v>307</v>
      </c>
      <c r="H387" s="241" t="s">
        <v>470</v>
      </c>
      <c r="I387" s="241"/>
      <c r="J387" s="241" t="s">
        <v>308</v>
      </c>
      <c r="K387" s="241" t="s">
        <v>471</v>
      </c>
      <c r="L387" s="241" t="s">
        <v>272</v>
      </c>
      <c r="M387" s="241" t="str">
        <f t="shared" si="42"/>
        <v>PetrolPassenger cars</v>
      </c>
      <c r="N387" s="284"/>
      <c r="O387" s="283"/>
      <c r="P387" s="283"/>
      <c r="Q387" s="285"/>
      <c r="R387" s="286"/>
      <c r="S387" s="232">
        <v>0.17047999999999999</v>
      </c>
      <c r="T387" s="388">
        <v>0.16390853422818791</v>
      </c>
      <c r="U387" s="241" t="s">
        <v>264</v>
      </c>
      <c r="V387" s="241"/>
      <c r="W387" s="218" t="s">
        <v>1154</v>
      </c>
      <c r="X387" s="73" t="s">
        <v>249</v>
      </c>
      <c r="Y387" s="389"/>
      <c r="Z387" s="67"/>
      <c r="AA387" s="67"/>
      <c r="AB387" s="67"/>
      <c r="AC387" s="67"/>
    </row>
    <row r="388" spans="2:29" ht="14.85" customHeight="1">
      <c r="B388" s="166"/>
      <c r="C388" s="173"/>
      <c r="D388" s="212">
        <v>3</v>
      </c>
      <c r="E388" s="212" t="s">
        <v>481</v>
      </c>
      <c r="F388" s="212" t="s">
        <v>482</v>
      </c>
      <c r="G388" s="241" t="s">
        <v>307</v>
      </c>
      <c r="H388" s="241" t="s">
        <v>470</v>
      </c>
      <c r="I388" s="241"/>
      <c r="J388" s="241" t="s">
        <v>308</v>
      </c>
      <c r="K388" s="241" t="s">
        <v>472</v>
      </c>
      <c r="L388" s="241" t="s">
        <v>272</v>
      </c>
      <c r="M388" s="241" t="str">
        <f t="shared" si="42"/>
        <v>HybridPassenger cars</v>
      </c>
      <c r="N388" s="284"/>
      <c r="O388" s="283"/>
      <c r="P388" s="283"/>
      <c r="Q388" s="285"/>
      <c r="R388" s="286"/>
      <c r="S388" s="232">
        <v>0.12003999999999999</v>
      </c>
      <c r="T388" s="388">
        <v>0.11897858791946307</v>
      </c>
      <c r="U388" s="241" t="s">
        <v>264</v>
      </c>
      <c r="V388" s="241"/>
      <c r="W388" s="218" t="s">
        <v>1155</v>
      </c>
      <c r="X388" s="73" t="s">
        <v>249</v>
      </c>
      <c r="Y388" s="389"/>
      <c r="Z388" s="67"/>
      <c r="AA388" s="67"/>
      <c r="AB388" s="67"/>
      <c r="AC388" s="67"/>
    </row>
    <row r="389" spans="2:29" ht="14.85" customHeight="1">
      <c r="B389" s="166"/>
      <c r="C389" s="173"/>
      <c r="D389" s="212">
        <v>3</v>
      </c>
      <c r="E389" s="212" t="s">
        <v>481</v>
      </c>
      <c r="F389" s="212" t="s">
        <v>482</v>
      </c>
      <c r="G389" s="241" t="s">
        <v>307</v>
      </c>
      <c r="H389" s="241" t="s">
        <v>470</v>
      </c>
      <c r="I389" s="241"/>
      <c r="J389" s="241" t="s">
        <v>308</v>
      </c>
      <c r="K389" s="241" t="s">
        <v>473</v>
      </c>
      <c r="L389" s="241" t="s">
        <v>272</v>
      </c>
      <c r="M389" s="241" t="str">
        <f t="shared" si="42"/>
        <v>CNGPassenger cars</v>
      </c>
      <c r="N389" s="284"/>
      <c r="O389" s="283"/>
      <c r="P389" s="283"/>
      <c r="Q389" s="285"/>
      <c r="R389" s="286"/>
      <c r="S389" s="232">
        <v>0.17516999999999999</v>
      </c>
      <c r="T389" s="388">
        <v>0.17504419731543627</v>
      </c>
      <c r="U389" s="241" t="s">
        <v>264</v>
      </c>
      <c r="V389" s="241"/>
      <c r="W389" s="218" t="s">
        <v>1156</v>
      </c>
      <c r="X389" s="73" t="s">
        <v>249</v>
      </c>
      <c r="Y389" s="389"/>
      <c r="Z389" s="67"/>
      <c r="AA389" s="67"/>
      <c r="AB389" s="67"/>
      <c r="AC389" s="67"/>
    </row>
    <row r="390" spans="2:29" ht="14.85" customHeight="1">
      <c r="B390" s="166"/>
      <c r="C390" s="173"/>
      <c r="D390" s="212">
        <v>3</v>
      </c>
      <c r="E390" s="212" t="s">
        <v>481</v>
      </c>
      <c r="F390" s="212" t="s">
        <v>482</v>
      </c>
      <c r="G390" s="241" t="s">
        <v>307</v>
      </c>
      <c r="H390" s="241" t="s">
        <v>470</v>
      </c>
      <c r="I390" s="241"/>
      <c r="J390" s="241" t="s">
        <v>308</v>
      </c>
      <c r="K390" s="241" t="s">
        <v>312</v>
      </c>
      <c r="L390" s="241" t="s">
        <v>272</v>
      </c>
      <c r="M390" s="241" t="str">
        <f t="shared" si="42"/>
        <v>LPGPassenger cars</v>
      </c>
      <c r="N390" s="284"/>
      <c r="O390" s="283"/>
      <c r="P390" s="283"/>
      <c r="Q390" s="285"/>
      <c r="R390" s="286"/>
      <c r="S390" s="232">
        <v>0.19775000000000001</v>
      </c>
      <c r="T390" s="388">
        <v>0.19704059731543624</v>
      </c>
      <c r="U390" s="241" t="s">
        <v>264</v>
      </c>
      <c r="V390" s="241"/>
      <c r="W390" s="218" t="s">
        <v>1157</v>
      </c>
      <c r="X390" s="73" t="s">
        <v>249</v>
      </c>
      <c r="Y390" s="389"/>
      <c r="Z390" s="67"/>
      <c r="AA390" s="67"/>
      <c r="AB390" s="67"/>
      <c r="AC390" s="67"/>
    </row>
    <row r="391" spans="2:29" ht="14.85" customHeight="1">
      <c r="B391" s="166"/>
      <c r="C391" s="173"/>
      <c r="D391" s="212">
        <v>3</v>
      </c>
      <c r="E391" s="212" t="s">
        <v>481</v>
      </c>
      <c r="F391" s="212" t="s">
        <v>482</v>
      </c>
      <c r="G391" s="241" t="s">
        <v>307</v>
      </c>
      <c r="H391" s="241" t="s">
        <v>470</v>
      </c>
      <c r="I391" s="241"/>
      <c r="J391" s="241" t="s">
        <v>308</v>
      </c>
      <c r="K391" s="241" t="s">
        <v>474</v>
      </c>
      <c r="L391" s="241" t="s">
        <v>272</v>
      </c>
      <c r="M391" s="241" t="str">
        <f t="shared" si="42"/>
        <v>UnknownPassenger cars</v>
      </c>
      <c r="N391" s="284"/>
      <c r="O391" s="283"/>
      <c r="P391" s="283"/>
      <c r="Q391" s="285"/>
      <c r="R391" s="286"/>
      <c r="S391" s="232">
        <v>0.17066999999999999</v>
      </c>
      <c r="T391" s="388">
        <v>0.16663858791946309</v>
      </c>
      <c r="U391" s="241" t="s">
        <v>264</v>
      </c>
      <c r="V391" s="241"/>
      <c r="W391" s="218" t="s">
        <v>1158</v>
      </c>
      <c r="X391" s="73" t="s">
        <v>249</v>
      </c>
      <c r="Y391" s="389"/>
      <c r="Z391" s="67"/>
      <c r="AA391" s="67"/>
      <c r="AB391" s="67"/>
      <c r="AC391" s="67"/>
    </row>
    <row r="392" spans="2:29" ht="14.85" customHeight="1">
      <c r="B392" s="166"/>
      <c r="C392" s="173"/>
      <c r="D392" s="212">
        <v>3</v>
      </c>
      <c r="E392" s="212" t="s">
        <v>481</v>
      </c>
      <c r="F392" s="212" t="s">
        <v>482</v>
      </c>
      <c r="G392" s="241" t="s">
        <v>307</v>
      </c>
      <c r="H392" s="241" t="s">
        <v>470</v>
      </c>
      <c r="I392" s="241"/>
      <c r="J392" s="241" t="s">
        <v>308</v>
      </c>
      <c r="K392" s="241" t="s">
        <v>475</v>
      </c>
      <c r="L392" s="241" t="s">
        <v>272</v>
      </c>
      <c r="M392" s="241" t="str">
        <f t="shared" si="42"/>
        <v>Plug-in Hybrid Electric VehiclePassenger cars</v>
      </c>
      <c r="N392" s="284"/>
      <c r="O392" s="283"/>
      <c r="P392" s="283"/>
      <c r="Q392" s="285"/>
      <c r="R392" s="286"/>
      <c r="S392" s="232">
        <v>9.3490000000000004E-2</v>
      </c>
      <c r="T392" s="388">
        <v>9.3916412080536915E-2</v>
      </c>
      <c r="U392" s="241" t="s">
        <v>264</v>
      </c>
      <c r="V392" s="241"/>
      <c r="W392" s="218" t="s">
        <v>1159</v>
      </c>
      <c r="X392" s="73" t="s">
        <v>249</v>
      </c>
      <c r="Y392" s="389"/>
      <c r="Z392" s="67"/>
      <c r="AA392" s="67"/>
      <c r="AB392" s="67"/>
      <c r="AC392" s="67"/>
    </row>
    <row r="393" spans="2:29" ht="14.85" customHeight="1">
      <c r="B393" s="166"/>
      <c r="C393" s="173"/>
      <c r="D393" s="212">
        <v>3</v>
      </c>
      <c r="E393" s="212" t="s">
        <v>481</v>
      </c>
      <c r="F393" s="212" t="s">
        <v>482</v>
      </c>
      <c r="G393" s="241" t="s">
        <v>307</v>
      </c>
      <c r="H393" s="241" t="s">
        <v>470</v>
      </c>
      <c r="I393" s="241"/>
      <c r="J393" s="241" t="s">
        <v>308</v>
      </c>
      <c r="K393" s="241" t="s">
        <v>476</v>
      </c>
      <c r="L393" s="241" t="s">
        <v>272</v>
      </c>
      <c r="M393" s="241" t="str">
        <f t="shared" si="42"/>
        <v>Battery Electric VehiclePassenger cars</v>
      </c>
      <c r="N393" s="284"/>
      <c r="O393" s="283"/>
      <c r="P393" s="283"/>
      <c r="Q393" s="285"/>
      <c r="R393" s="286"/>
      <c r="S393" s="232">
        <v>5.1400000000000001E-2</v>
      </c>
      <c r="T393" s="388">
        <v>5.4796441610738253E-2</v>
      </c>
      <c r="U393" s="241" t="s">
        <v>264</v>
      </c>
      <c r="V393" s="241"/>
      <c r="W393" s="218" t="s">
        <v>1160</v>
      </c>
      <c r="X393" s="73" t="s">
        <v>249</v>
      </c>
      <c r="Y393" s="389"/>
      <c r="Z393" s="67"/>
      <c r="AA393" s="67"/>
      <c r="AB393" s="67"/>
      <c r="AC393" s="67"/>
    </row>
    <row r="394" spans="2:29" ht="14.85" customHeight="1">
      <c r="B394" s="166"/>
      <c r="C394" s="173"/>
      <c r="D394" s="212">
        <v>3</v>
      </c>
      <c r="E394" s="212" t="s">
        <v>481</v>
      </c>
      <c r="F394" s="212" t="s">
        <v>482</v>
      </c>
      <c r="G394" s="241" t="s">
        <v>307</v>
      </c>
      <c r="H394" s="241" t="s">
        <v>477</v>
      </c>
      <c r="I394" s="241"/>
      <c r="J394" s="241" t="s">
        <v>308</v>
      </c>
      <c r="K394" s="241" t="s">
        <v>478</v>
      </c>
      <c r="L394" s="241" t="s">
        <v>347</v>
      </c>
      <c r="M394" s="241" t="str">
        <f t="shared" si="42"/>
        <v>Average motorbikeMotorcycles</v>
      </c>
      <c r="N394" s="284"/>
      <c r="O394" s="283"/>
      <c r="P394" s="283"/>
      <c r="Q394" s="285"/>
      <c r="R394" s="286"/>
      <c r="S394" s="232">
        <v>0.11355</v>
      </c>
      <c r="T394" s="388">
        <v>0.1136742644295302</v>
      </c>
      <c r="U394" s="241" t="s">
        <v>264</v>
      </c>
      <c r="V394" s="241"/>
      <c r="W394" s="218" t="s">
        <v>1161</v>
      </c>
      <c r="X394" s="73" t="s">
        <v>249</v>
      </c>
      <c r="Y394" s="389"/>
      <c r="Z394" s="67"/>
      <c r="AA394" s="67"/>
      <c r="AB394" s="67"/>
      <c r="AC394" s="67"/>
    </row>
    <row r="395" spans="2:29" ht="14.85" customHeight="1">
      <c r="B395" s="166"/>
      <c r="C395" s="173"/>
      <c r="D395" s="212">
        <v>3</v>
      </c>
      <c r="E395" s="212" t="s">
        <v>481</v>
      </c>
      <c r="F395" s="212" t="s">
        <v>482</v>
      </c>
      <c r="G395" s="241" t="s">
        <v>307</v>
      </c>
      <c r="H395" s="241" t="s">
        <v>262</v>
      </c>
      <c r="I395" s="241"/>
      <c r="J395" s="241" t="s">
        <v>308</v>
      </c>
      <c r="K395" s="241" t="s">
        <v>263</v>
      </c>
      <c r="L395" s="241" t="s">
        <v>262</v>
      </c>
      <c r="M395" s="241" t="str">
        <f t="shared" si="42"/>
        <v>Regular taxiTaxi</v>
      </c>
      <c r="N395" s="284"/>
      <c r="O395" s="283"/>
      <c r="P395" s="283"/>
      <c r="Q395" s="285"/>
      <c r="R395" s="286"/>
      <c r="S395" s="232">
        <v>0.20826</v>
      </c>
      <c r="T395" s="388">
        <v>0.20805644888053693</v>
      </c>
      <c r="U395" s="241" t="s">
        <v>264</v>
      </c>
      <c r="V395" s="241"/>
      <c r="W395" s="218" t="s">
        <v>1162</v>
      </c>
      <c r="X395" s="73" t="s">
        <v>249</v>
      </c>
      <c r="Y395" s="389"/>
      <c r="Z395" s="67"/>
      <c r="AA395" s="67"/>
      <c r="AB395" s="67"/>
      <c r="AC395" s="67"/>
    </row>
    <row r="396" spans="2:29" ht="14.85" customHeight="1">
      <c r="B396" s="166"/>
      <c r="C396" s="173"/>
      <c r="D396" s="212">
        <v>3</v>
      </c>
      <c r="E396" s="212" t="s">
        <v>481</v>
      </c>
      <c r="F396" s="212" t="s">
        <v>482</v>
      </c>
      <c r="G396" s="241" t="s">
        <v>307</v>
      </c>
      <c r="H396" s="241" t="s">
        <v>262</v>
      </c>
      <c r="I396" s="241"/>
      <c r="J396" s="241" t="s">
        <v>308</v>
      </c>
      <c r="K396" s="241" t="s">
        <v>263</v>
      </c>
      <c r="L396" s="241" t="s">
        <v>262</v>
      </c>
      <c r="M396" s="241" t="str">
        <f t="shared" si="42"/>
        <v>Regular taxiTaxi</v>
      </c>
      <c r="N396" s="284"/>
      <c r="O396" s="283"/>
      <c r="P396" s="283"/>
      <c r="Q396" s="285"/>
      <c r="R396" s="286"/>
      <c r="S396" s="232">
        <v>0.14876</v>
      </c>
      <c r="T396" s="388">
        <v>0.14861492593825501</v>
      </c>
      <c r="U396" s="241" t="s">
        <v>268</v>
      </c>
      <c r="V396" s="241"/>
      <c r="W396" s="218" t="s">
        <v>1162</v>
      </c>
      <c r="X396" s="73" t="s">
        <v>249</v>
      </c>
      <c r="Y396" s="389"/>
      <c r="Z396" s="67"/>
      <c r="AA396" s="67"/>
      <c r="AB396" s="67"/>
      <c r="AC396" s="67"/>
    </row>
    <row r="397" spans="2:29" ht="14.85" customHeight="1">
      <c r="B397" s="166"/>
      <c r="C397" s="173"/>
      <c r="D397" s="212">
        <v>3</v>
      </c>
      <c r="E397" s="212" t="s">
        <v>481</v>
      </c>
      <c r="F397" s="212" t="s">
        <v>482</v>
      </c>
      <c r="G397" s="241" t="s">
        <v>307</v>
      </c>
      <c r="H397" s="241" t="s">
        <v>360</v>
      </c>
      <c r="I397" s="241"/>
      <c r="J397" s="241" t="s">
        <v>308</v>
      </c>
      <c r="K397" s="241" t="s">
        <v>479</v>
      </c>
      <c r="L397" s="241" t="s">
        <v>360</v>
      </c>
      <c r="M397" s="241" t="str">
        <f t="shared" si="42"/>
        <v>Average local busBus</v>
      </c>
      <c r="N397" s="284"/>
      <c r="O397" s="283"/>
      <c r="P397" s="283"/>
      <c r="Q397" s="285"/>
      <c r="R397" s="286"/>
      <c r="S397" s="232">
        <v>9.6500000000000002E-2</v>
      </c>
      <c r="T397" s="388">
        <v>0.10215039463087248</v>
      </c>
      <c r="U397" s="241" t="s">
        <v>268</v>
      </c>
      <c r="V397" s="241"/>
      <c r="W397" s="218" t="s">
        <v>1163</v>
      </c>
      <c r="X397" s="73" t="s">
        <v>249</v>
      </c>
      <c r="Y397" s="389"/>
      <c r="Z397" s="67"/>
      <c r="AA397" s="67"/>
      <c r="AB397" s="67"/>
      <c r="AC397" s="67"/>
    </row>
    <row r="398" spans="2:29" ht="14.85" customHeight="1">
      <c r="B398" s="166"/>
      <c r="C398" s="173"/>
      <c r="D398" s="212">
        <v>3</v>
      </c>
      <c r="E398" s="212" t="s">
        <v>481</v>
      </c>
      <c r="F398" s="212" t="s">
        <v>482</v>
      </c>
      <c r="G398" s="241" t="s">
        <v>307</v>
      </c>
      <c r="H398" s="241" t="s">
        <v>360</v>
      </c>
      <c r="I398" s="241"/>
      <c r="J398" s="241" t="s">
        <v>308</v>
      </c>
      <c r="K398" s="241" t="s">
        <v>480</v>
      </c>
      <c r="L398" s="241" t="s">
        <v>360</v>
      </c>
      <c r="M398" s="241" t="str">
        <f t="shared" si="42"/>
        <v>CoachBus</v>
      </c>
      <c r="N398" s="284"/>
      <c r="O398" s="283"/>
      <c r="P398" s="283"/>
      <c r="Q398" s="285"/>
      <c r="R398" s="286"/>
      <c r="S398" s="232">
        <v>2.733E-2</v>
      </c>
      <c r="T398" s="388">
        <v>2.7181401342281877E-2</v>
      </c>
      <c r="U398" s="241" t="s">
        <v>268</v>
      </c>
      <c r="V398" s="241"/>
      <c r="W398" s="218" t="s">
        <v>1164</v>
      </c>
      <c r="X398" s="73" t="s">
        <v>249</v>
      </c>
      <c r="Y398" s="389"/>
      <c r="Z398" s="67"/>
      <c r="AA398" s="67"/>
      <c r="AB398" s="67"/>
      <c r="AC398" s="67"/>
    </row>
    <row r="399" spans="2:29" ht="14.85" customHeight="1">
      <c r="B399" s="166"/>
      <c r="C399" s="173"/>
      <c r="D399" s="67"/>
      <c r="E399" s="67"/>
      <c r="F399" s="67"/>
      <c r="G399" s="67"/>
      <c r="H399" s="67"/>
      <c r="I399" s="67"/>
      <c r="J399" s="67"/>
      <c r="K399" s="67"/>
      <c r="L399" s="67"/>
      <c r="M399" s="67"/>
      <c r="N399" s="67"/>
      <c r="O399" s="249"/>
      <c r="P399" s="249"/>
      <c r="Q399" s="249"/>
      <c r="R399" s="249"/>
      <c r="S399" s="249"/>
      <c r="T399" s="249"/>
      <c r="U399" s="67"/>
      <c r="V399" s="67"/>
      <c r="W399" s="67"/>
      <c r="X399" s="67"/>
      <c r="Y399" s="67"/>
      <c r="Z399" s="67"/>
      <c r="AA399" s="67"/>
      <c r="AB399" s="67"/>
      <c r="AC399" s="67"/>
    </row>
    <row r="400" spans="2:29" ht="14.25" customHeight="1">
      <c r="B400" s="166"/>
      <c r="C400" s="173"/>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row>
    <row r="401" spans="2:29" ht="40.35" customHeight="1">
      <c r="B401" s="166"/>
      <c r="C401" s="173"/>
      <c r="D401" s="457" t="str">
        <f>IF($A$2="English",_xlfn.XLOOKUP($A$13,Descriptions!$A:$A,Descriptions!$B:$B),_xlfn.XLOOKUP($A$13,Descriptions!$A:$A,Descriptions!$C:$C))</f>
        <v>Vav 3 - Burturkast frá virksemi</v>
      </c>
      <c r="E401" s="457"/>
      <c r="F401" s="457"/>
      <c r="G401" s="457"/>
      <c r="H401" s="457"/>
      <c r="I401" s="457"/>
      <c r="J401" s="457"/>
      <c r="K401" s="457"/>
      <c r="L401" s="457"/>
      <c r="M401" s="457"/>
      <c r="N401" s="457"/>
      <c r="O401" s="457"/>
      <c r="P401" s="457"/>
      <c r="Q401" s="457"/>
      <c r="R401" s="457"/>
      <c r="S401" s="457"/>
      <c r="T401" s="457"/>
      <c r="U401" s="457"/>
      <c r="V401" s="457"/>
      <c r="W401" s="457"/>
      <c r="X401" s="457"/>
      <c r="Y401" s="391"/>
      <c r="Z401" s="67"/>
      <c r="AA401" s="67"/>
      <c r="AB401" s="67"/>
      <c r="AC401" s="67"/>
    </row>
    <row r="402" spans="2:29" ht="14.25" customHeight="1">
      <c r="B402" s="166"/>
      <c r="C402" s="173"/>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row>
    <row r="403" spans="2:29" ht="30" customHeight="1">
      <c r="B403" s="166"/>
      <c r="C403" s="173"/>
      <c r="D403" s="154" t="s">
        <v>144</v>
      </c>
      <c r="E403" s="154" t="s">
        <v>145</v>
      </c>
      <c r="F403" s="154" t="s">
        <v>292</v>
      </c>
      <c r="G403" s="154" t="s">
        <v>293</v>
      </c>
      <c r="H403" s="154" t="s">
        <v>404</v>
      </c>
      <c r="I403" s="154" t="s">
        <v>294</v>
      </c>
      <c r="J403" s="154" t="s">
        <v>295</v>
      </c>
      <c r="K403" s="154" t="s">
        <v>230</v>
      </c>
      <c r="L403" s="154" t="s">
        <v>296</v>
      </c>
      <c r="M403" s="154" t="s">
        <v>185</v>
      </c>
      <c r="N403" s="154" t="s">
        <v>297</v>
      </c>
      <c r="O403" s="154" t="s">
        <v>298</v>
      </c>
      <c r="P403" s="154" t="s">
        <v>299</v>
      </c>
      <c r="Q403" s="154" t="s">
        <v>300</v>
      </c>
      <c r="R403" s="154" t="s">
        <v>301</v>
      </c>
      <c r="S403" s="154" t="s">
        <v>302</v>
      </c>
      <c r="T403" s="154" t="s">
        <v>303</v>
      </c>
      <c r="U403" s="154" t="s">
        <v>214</v>
      </c>
      <c r="V403" s="154" t="s">
        <v>304</v>
      </c>
      <c r="W403" s="154" t="s">
        <v>305</v>
      </c>
      <c r="X403" s="67"/>
      <c r="Y403" s="67"/>
      <c r="Z403" s="67"/>
      <c r="AA403" s="67"/>
      <c r="AB403" s="67"/>
      <c r="AC403" s="67"/>
    </row>
    <row r="404" spans="2:29" ht="14.25" customHeight="1">
      <c r="B404" s="166"/>
      <c r="C404" s="173"/>
      <c r="D404" s="241">
        <v>3</v>
      </c>
      <c r="E404" s="241" t="s">
        <v>483</v>
      </c>
      <c r="F404" s="241" t="str">
        <f t="shared" ref="F404:F427" si="43">D404&amp;" - "&amp;E404</f>
        <v>3 - Waste Generated in Operations</v>
      </c>
      <c r="G404" s="241" t="s">
        <v>307</v>
      </c>
      <c r="H404" s="241" t="s">
        <v>283</v>
      </c>
      <c r="I404" s="241"/>
      <c r="J404" s="241" t="s">
        <v>308</v>
      </c>
      <c r="K404" s="241" t="s">
        <v>284</v>
      </c>
      <c r="L404" s="241" t="str">
        <f t="shared" ref="L404:L427" si="44">H404</f>
        <v>Commercial and industrial waste</v>
      </c>
      <c r="M404" s="215" t="str">
        <f t="shared" ref="M404:M427" si="45">K404&amp;L404</f>
        <v>CombustionCommercial and industrial waste</v>
      </c>
      <c r="N404" s="284"/>
      <c r="O404" s="283"/>
      <c r="P404" s="283"/>
      <c r="Q404" s="283"/>
      <c r="R404" s="283"/>
      <c r="S404" s="222">
        <v>21.280193798449599</v>
      </c>
      <c r="T404" s="388">
        <v>21.280999999999999</v>
      </c>
      <c r="U404" s="241" t="s">
        <v>281</v>
      </c>
      <c r="V404" s="241"/>
      <c r="W404" s="218" t="s">
        <v>1165</v>
      </c>
      <c r="X404" s="67"/>
      <c r="Y404" s="389"/>
      <c r="Z404" s="67"/>
      <c r="AA404" s="67"/>
      <c r="AB404" s="67"/>
      <c r="AC404" s="67"/>
    </row>
    <row r="405" spans="2:29" ht="14.25" customHeight="1">
      <c r="B405" s="166"/>
      <c r="C405" s="173"/>
      <c r="D405" s="241">
        <v>3</v>
      </c>
      <c r="E405" s="241" t="s">
        <v>483</v>
      </c>
      <c r="F405" s="241" t="str">
        <f t="shared" si="43"/>
        <v>3 - Waste Generated in Operations</v>
      </c>
      <c r="G405" s="241" t="s">
        <v>307</v>
      </c>
      <c r="H405" s="241" t="s">
        <v>484</v>
      </c>
      <c r="I405" s="241"/>
      <c r="J405" s="241" t="s">
        <v>308</v>
      </c>
      <c r="K405" s="241" t="s">
        <v>284</v>
      </c>
      <c r="L405" s="241" t="str">
        <f t="shared" si="44"/>
        <v>Organic: food and drink waste</v>
      </c>
      <c r="M405" s="215" t="str">
        <f t="shared" si="45"/>
        <v>CombustionOrganic: food and drink waste</v>
      </c>
      <c r="N405" s="284"/>
      <c r="O405" s="283"/>
      <c r="P405" s="283"/>
      <c r="Q405" s="283"/>
      <c r="R405" s="283"/>
      <c r="S405" s="222">
        <v>21.280193798449599</v>
      </c>
      <c r="T405" s="388">
        <v>21.280999999999999</v>
      </c>
      <c r="U405" s="241" t="s">
        <v>281</v>
      </c>
      <c r="V405" s="241"/>
      <c r="W405" s="218" t="s">
        <v>1166</v>
      </c>
      <c r="X405" s="67"/>
      <c r="Y405" s="389"/>
      <c r="Z405" s="67"/>
      <c r="AA405" s="67"/>
      <c r="AB405" s="67"/>
      <c r="AC405" s="67"/>
    </row>
    <row r="406" spans="2:29" ht="14.25" customHeight="1">
      <c r="B406" s="166"/>
      <c r="C406" s="173"/>
      <c r="D406" s="241">
        <v>3</v>
      </c>
      <c r="E406" s="241" t="s">
        <v>483</v>
      </c>
      <c r="F406" s="241" t="str">
        <f t="shared" ref="F406" si="46">D406&amp;" - "&amp;E406</f>
        <v>3 - Waste Generated in Operations</v>
      </c>
      <c r="G406" s="241" t="s">
        <v>307</v>
      </c>
      <c r="H406" s="241" t="s">
        <v>484</v>
      </c>
      <c r="I406" s="241"/>
      <c r="J406" s="241" t="s">
        <v>308</v>
      </c>
      <c r="K406" s="244" t="s">
        <v>485</v>
      </c>
      <c r="L406" s="244" t="str">
        <f>L405</f>
        <v>Organic: food and drink waste</v>
      </c>
      <c r="M406" s="215" t="str">
        <f t="shared" si="45"/>
        <v>LandfillOrganic: food and drink waste</v>
      </c>
      <c r="N406" s="284"/>
      <c r="O406" s="283"/>
      <c r="P406" s="283"/>
      <c r="Q406" s="283"/>
      <c r="R406" s="283"/>
      <c r="S406" s="222">
        <v>626.85614522394496</v>
      </c>
      <c r="T406" s="388">
        <v>700.21</v>
      </c>
      <c r="U406" s="241" t="s">
        <v>281</v>
      </c>
      <c r="V406" s="241"/>
      <c r="W406" s="218" t="s">
        <v>1167</v>
      </c>
      <c r="X406" s="67"/>
      <c r="Y406" s="389"/>
      <c r="Z406" s="67"/>
      <c r="AA406" s="67"/>
      <c r="AB406" s="67"/>
      <c r="AC406" s="67"/>
    </row>
    <row r="407" spans="2:29" ht="14.25" customHeight="1">
      <c r="B407" s="166"/>
      <c r="C407" s="173"/>
      <c r="D407" s="241">
        <v>3</v>
      </c>
      <c r="E407" s="241" t="s">
        <v>483</v>
      </c>
      <c r="F407" s="241" t="str">
        <f t="shared" si="43"/>
        <v>3 - Waste Generated in Operations</v>
      </c>
      <c r="G407" s="241" t="s">
        <v>307</v>
      </c>
      <c r="H407" s="241" t="s">
        <v>486</v>
      </c>
      <c r="I407" s="241"/>
      <c r="J407" s="241" t="s">
        <v>308</v>
      </c>
      <c r="K407" s="241" t="s">
        <v>485</v>
      </c>
      <c r="L407" s="241" t="str">
        <f t="shared" si="44"/>
        <v>Organic: mixed food and garden waste</v>
      </c>
      <c r="M407" s="215" t="str">
        <f t="shared" si="45"/>
        <v>LandfillOrganic: mixed food and garden waste</v>
      </c>
      <c r="N407" s="284"/>
      <c r="O407" s="283"/>
      <c r="P407" s="283"/>
      <c r="Q407" s="283"/>
      <c r="R407" s="283"/>
      <c r="S407" s="222">
        <v>587.32566659584597</v>
      </c>
      <c r="T407" s="388">
        <v>655.98699999999997</v>
      </c>
      <c r="U407" s="241" t="s">
        <v>281</v>
      </c>
      <c r="V407" s="241"/>
      <c r="W407" s="218" t="s">
        <v>1168</v>
      </c>
      <c r="X407" s="67"/>
      <c r="Y407" s="389"/>
      <c r="Z407" s="67"/>
      <c r="AA407" s="67"/>
      <c r="AB407" s="67"/>
      <c r="AC407" s="67"/>
    </row>
    <row r="408" spans="2:29" ht="14.25" customHeight="1">
      <c r="B408" s="166"/>
      <c r="C408" s="173"/>
      <c r="D408" s="241">
        <v>3</v>
      </c>
      <c r="E408" s="241" t="s">
        <v>483</v>
      </c>
      <c r="F408" s="241" t="str">
        <f t="shared" si="43"/>
        <v>3 - Waste Generated in Operations</v>
      </c>
      <c r="G408" s="241" t="s">
        <v>307</v>
      </c>
      <c r="H408" s="241" t="s">
        <v>486</v>
      </c>
      <c r="I408" s="241"/>
      <c r="J408" s="241" t="s">
        <v>308</v>
      </c>
      <c r="K408" s="241" t="s">
        <v>487</v>
      </c>
      <c r="L408" s="241" t="str">
        <f t="shared" si="44"/>
        <v>Organic: mixed food and garden waste</v>
      </c>
      <c r="M408" s="215" t="str">
        <f t="shared" si="45"/>
        <v>CompostingOrganic: mixed food and garden waste</v>
      </c>
      <c r="N408" s="284"/>
      <c r="O408" s="283"/>
      <c r="P408" s="283"/>
      <c r="Q408" s="283"/>
      <c r="R408" s="283"/>
      <c r="S408" s="222">
        <v>8.9105813953488404</v>
      </c>
      <c r="T408" s="388">
        <v>8.9120000000000008</v>
      </c>
      <c r="U408" s="241" t="s">
        <v>281</v>
      </c>
      <c r="V408" s="241"/>
      <c r="W408" s="218" t="s">
        <v>1169</v>
      </c>
      <c r="X408" s="67"/>
      <c r="Y408" s="389"/>
      <c r="Z408" s="67"/>
      <c r="AA408" s="67"/>
      <c r="AB408" s="67"/>
      <c r="AC408" s="67"/>
    </row>
    <row r="409" spans="2:29" ht="14.25" customHeight="1">
      <c r="B409" s="166"/>
      <c r="C409" s="173"/>
      <c r="D409" s="241">
        <v>3</v>
      </c>
      <c r="E409" s="241" t="s">
        <v>483</v>
      </c>
      <c r="F409" s="241" t="str">
        <f t="shared" si="43"/>
        <v>3 - Waste Generated in Operations</v>
      </c>
      <c r="G409" s="241" t="s">
        <v>307</v>
      </c>
      <c r="H409" s="241" t="s">
        <v>488</v>
      </c>
      <c r="I409" s="241"/>
      <c r="J409" s="241" t="s">
        <v>308</v>
      </c>
      <c r="K409" s="241" t="s">
        <v>487</v>
      </c>
      <c r="L409" s="241" t="str">
        <f t="shared" si="44"/>
        <v>Organic: garden waste</v>
      </c>
      <c r="M409" s="215" t="str">
        <f t="shared" si="45"/>
        <v>CompostingOrganic: garden waste</v>
      </c>
      <c r="N409" s="284"/>
      <c r="O409" s="283"/>
      <c r="P409" s="283"/>
      <c r="Q409" s="283"/>
      <c r="R409" s="283"/>
      <c r="S409" s="222">
        <v>8.9105813953488404</v>
      </c>
      <c r="T409" s="388">
        <v>8.9120000000000008</v>
      </c>
      <c r="U409" s="241" t="s">
        <v>281</v>
      </c>
      <c r="V409" s="241"/>
      <c r="W409" s="218" t="s">
        <v>1170</v>
      </c>
      <c r="X409" s="67"/>
      <c r="Y409" s="389"/>
      <c r="Z409" s="67"/>
      <c r="AA409" s="67"/>
      <c r="AB409" s="67"/>
      <c r="AC409" s="67"/>
    </row>
    <row r="410" spans="2:29" ht="14.25" customHeight="1">
      <c r="B410" s="166"/>
      <c r="C410" s="173"/>
      <c r="D410" s="241">
        <v>3</v>
      </c>
      <c r="E410" s="241" t="s">
        <v>483</v>
      </c>
      <c r="F410" s="241" t="str">
        <f t="shared" si="43"/>
        <v>3 - Waste Generated in Operations</v>
      </c>
      <c r="G410" s="241" t="s">
        <v>307</v>
      </c>
      <c r="H410" s="241" t="s">
        <v>489</v>
      </c>
      <c r="I410" s="241"/>
      <c r="J410" s="241" t="s">
        <v>308</v>
      </c>
      <c r="K410" s="241" t="s">
        <v>284</v>
      </c>
      <c r="L410" s="241" t="str">
        <f t="shared" si="44"/>
        <v>Household residual waste</v>
      </c>
      <c r="M410" s="215" t="str">
        <f t="shared" si="45"/>
        <v>CombustionHousehold residual waste</v>
      </c>
      <c r="N410" s="284"/>
      <c r="O410" s="283"/>
      <c r="P410" s="283"/>
      <c r="Q410" s="283"/>
      <c r="R410" s="283"/>
      <c r="S410" s="222">
        <v>21.280193798449599</v>
      </c>
      <c r="T410" s="388">
        <v>21.911999999999999</v>
      </c>
      <c r="U410" s="241" t="s">
        <v>281</v>
      </c>
      <c r="V410" s="241"/>
      <c r="W410" s="218" t="s">
        <v>1171</v>
      </c>
      <c r="X410" s="67"/>
      <c r="Y410" s="389"/>
      <c r="Z410" s="67"/>
      <c r="AA410" s="67"/>
      <c r="AB410" s="67"/>
      <c r="AC410" s="67"/>
    </row>
    <row r="411" spans="2:29" ht="14.25" customHeight="1">
      <c r="B411" s="166"/>
      <c r="C411" s="173"/>
      <c r="D411" s="241">
        <v>3</v>
      </c>
      <c r="E411" s="241" t="s">
        <v>483</v>
      </c>
      <c r="F411" s="241" t="str">
        <f t="shared" si="43"/>
        <v>3 - Waste Generated in Operations</v>
      </c>
      <c r="G411" s="241" t="s">
        <v>307</v>
      </c>
      <c r="H411" s="241" t="s">
        <v>490</v>
      </c>
      <c r="I411" s="241"/>
      <c r="J411" s="241" t="s">
        <v>308</v>
      </c>
      <c r="K411" s="241" t="s">
        <v>280</v>
      </c>
      <c r="L411" s="241" t="str">
        <f t="shared" si="44"/>
        <v>Plastics: average plastics</v>
      </c>
      <c r="M411" s="215" t="str">
        <f t="shared" si="45"/>
        <v>Recycled - Closed-loopPlastics: average plastics</v>
      </c>
      <c r="N411" s="284"/>
      <c r="O411" s="283"/>
      <c r="P411" s="283"/>
      <c r="Q411" s="283"/>
      <c r="R411" s="283"/>
      <c r="S411" s="222">
        <v>21.280193798449599</v>
      </c>
      <c r="T411" s="388">
        <v>21.280999999999999</v>
      </c>
      <c r="U411" s="241" t="s">
        <v>281</v>
      </c>
      <c r="V411" s="241"/>
      <c r="W411" s="218" t="s">
        <v>1172</v>
      </c>
      <c r="X411" s="67"/>
      <c r="Y411" s="389"/>
      <c r="Z411" s="67"/>
      <c r="AA411" s="67"/>
      <c r="AB411" s="67"/>
      <c r="AC411" s="67"/>
    </row>
    <row r="412" spans="2:29" ht="14.25" customHeight="1">
      <c r="B412" s="166"/>
      <c r="C412" s="173"/>
      <c r="D412" s="241">
        <v>3</v>
      </c>
      <c r="E412" s="241" t="s">
        <v>483</v>
      </c>
      <c r="F412" s="241" t="str">
        <f t="shared" si="43"/>
        <v>3 - Waste Generated in Operations</v>
      </c>
      <c r="G412" s="241" t="s">
        <v>307</v>
      </c>
      <c r="H412" s="241" t="s">
        <v>490</v>
      </c>
      <c r="I412" s="241"/>
      <c r="J412" s="241" t="s">
        <v>308</v>
      </c>
      <c r="K412" s="241" t="s">
        <v>284</v>
      </c>
      <c r="L412" s="241" t="str">
        <f t="shared" si="44"/>
        <v>Plastics: average plastics</v>
      </c>
      <c r="M412" s="215" t="str">
        <f t="shared" si="45"/>
        <v>CombustionPlastics: average plastics</v>
      </c>
      <c r="N412" s="284"/>
      <c r="O412" s="283"/>
      <c r="P412" s="283"/>
      <c r="Q412" s="283"/>
      <c r="R412" s="283"/>
      <c r="S412" s="222">
        <v>21.280193798449599</v>
      </c>
      <c r="T412" s="388">
        <v>21.280999999999999</v>
      </c>
      <c r="U412" s="241" t="s">
        <v>281</v>
      </c>
      <c r="V412" s="241"/>
      <c r="W412" s="218" t="s">
        <v>1173</v>
      </c>
      <c r="X412" s="67"/>
      <c r="Y412" s="389"/>
      <c r="Z412" s="67"/>
      <c r="AA412" s="67"/>
      <c r="AB412" s="67"/>
      <c r="AC412" s="67"/>
    </row>
    <row r="413" spans="2:29" ht="14.25" customHeight="1">
      <c r="B413" s="166"/>
      <c r="C413" s="173"/>
      <c r="D413" s="241">
        <v>3</v>
      </c>
      <c r="E413" s="241" t="s">
        <v>483</v>
      </c>
      <c r="F413" s="241" t="str">
        <f t="shared" si="43"/>
        <v>3 - Waste Generated in Operations</v>
      </c>
      <c r="G413" s="241" t="s">
        <v>307</v>
      </c>
      <c r="H413" s="241" t="s">
        <v>279</v>
      </c>
      <c r="I413" s="241"/>
      <c r="J413" s="241" t="s">
        <v>308</v>
      </c>
      <c r="K413" s="241" t="s">
        <v>280</v>
      </c>
      <c r="L413" s="241" t="str">
        <f t="shared" si="44"/>
        <v>Paper and board: mixed</v>
      </c>
      <c r="M413" s="215" t="str">
        <f t="shared" si="45"/>
        <v>Recycled - Closed-loopPaper and board: mixed</v>
      </c>
      <c r="N413" s="284"/>
      <c r="O413" s="283"/>
      <c r="P413" s="283"/>
      <c r="Q413" s="283"/>
      <c r="R413" s="283"/>
      <c r="S413" s="222">
        <v>21.280193798449599</v>
      </c>
      <c r="T413" s="388">
        <v>21.280999999999999</v>
      </c>
      <c r="U413" s="241" t="s">
        <v>281</v>
      </c>
      <c r="V413" s="241"/>
      <c r="W413" s="218" t="s">
        <v>1174</v>
      </c>
      <c r="X413" s="67"/>
      <c r="Y413" s="389"/>
      <c r="Z413" s="67"/>
      <c r="AA413" s="67"/>
      <c r="AB413" s="67"/>
      <c r="AC413" s="67"/>
    </row>
    <row r="414" spans="2:29" ht="14.25" customHeight="1">
      <c r="B414" s="166"/>
      <c r="C414" s="173"/>
      <c r="D414" s="241">
        <v>3</v>
      </c>
      <c r="E414" s="241" t="s">
        <v>483</v>
      </c>
      <c r="F414" s="241" t="str">
        <f t="shared" si="43"/>
        <v>3 - Waste Generated in Operations</v>
      </c>
      <c r="G414" s="241" t="s">
        <v>307</v>
      </c>
      <c r="H414" s="241" t="s">
        <v>279</v>
      </c>
      <c r="I414" s="241"/>
      <c r="J414" s="241" t="s">
        <v>308</v>
      </c>
      <c r="K414" s="241" t="s">
        <v>284</v>
      </c>
      <c r="L414" s="241" t="str">
        <f t="shared" si="44"/>
        <v>Paper and board: mixed</v>
      </c>
      <c r="M414" s="215" t="str">
        <f t="shared" si="45"/>
        <v>CombustionPaper and board: mixed</v>
      </c>
      <c r="N414" s="284"/>
      <c r="O414" s="283"/>
      <c r="P414" s="283"/>
      <c r="Q414" s="283"/>
      <c r="R414" s="283"/>
      <c r="S414" s="222">
        <v>21.280193798449599</v>
      </c>
      <c r="T414" s="388">
        <v>21.280999999999999</v>
      </c>
      <c r="U414" s="241" t="s">
        <v>281</v>
      </c>
      <c r="V414" s="241"/>
      <c r="W414" s="218" t="s">
        <v>1175</v>
      </c>
      <c r="X414" s="67"/>
      <c r="Y414" s="389"/>
      <c r="Z414" s="67"/>
      <c r="AA414" s="67"/>
      <c r="AB414" s="67"/>
      <c r="AC414" s="67"/>
    </row>
    <row r="415" spans="2:29" ht="14.25" customHeight="1">
      <c r="B415" s="166"/>
      <c r="C415" s="173"/>
      <c r="D415" s="241">
        <v>3</v>
      </c>
      <c r="E415" s="241" t="s">
        <v>483</v>
      </c>
      <c r="F415" s="241" t="str">
        <f t="shared" si="43"/>
        <v>3 - Waste Generated in Operations</v>
      </c>
      <c r="G415" s="241" t="s">
        <v>307</v>
      </c>
      <c r="H415" s="241" t="s">
        <v>491</v>
      </c>
      <c r="I415" s="241"/>
      <c r="J415" s="241" t="s">
        <v>308</v>
      </c>
      <c r="K415" s="241" t="s">
        <v>280</v>
      </c>
      <c r="L415" s="241" t="str">
        <f t="shared" si="44"/>
        <v>Metal: scrap metal</v>
      </c>
      <c r="M415" s="215" t="str">
        <f t="shared" si="45"/>
        <v>Recycled - Closed-loopMetal: scrap metal</v>
      </c>
      <c r="N415" s="284"/>
      <c r="O415" s="283"/>
      <c r="P415" s="283"/>
      <c r="Q415" s="283"/>
      <c r="R415" s="283"/>
      <c r="S415" s="222">
        <v>21.280193798449599</v>
      </c>
      <c r="T415" s="388">
        <v>21.280999999999999</v>
      </c>
      <c r="U415" s="241" t="s">
        <v>281</v>
      </c>
      <c r="V415" s="241"/>
      <c r="W415" s="218" t="s">
        <v>1176</v>
      </c>
      <c r="X415" s="67"/>
      <c r="Y415" s="389"/>
      <c r="Z415" s="67"/>
      <c r="AA415" s="67"/>
      <c r="AB415" s="67"/>
      <c r="AC415" s="67"/>
    </row>
    <row r="416" spans="2:29" ht="14.25" customHeight="1">
      <c r="B416" s="166"/>
      <c r="C416" s="173"/>
      <c r="D416" s="241">
        <v>3</v>
      </c>
      <c r="E416" s="241" t="s">
        <v>483</v>
      </c>
      <c r="F416" s="241" t="str">
        <f t="shared" si="43"/>
        <v>3 - Waste Generated in Operations</v>
      </c>
      <c r="G416" s="241" t="s">
        <v>307</v>
      </c>
      <c r="H416" s="241" t="s">
        <v>492</v>
      </c>
      <c r="I416" s="241"/>
      <c r="J416" s="241" t="s">
        <v>308</v>
      </c>
      <c r="K416" s="241" t="s">
        <v>493</v>
      </c>
      <c r="L416" s="241" t="str">
        <f t="shared" si="44"/>
        <v>WEEE - Mixed</v>
      </c>
      <c r="M416" s="215" t="str">
        <f t="shared" si="45"/>
        <v>Recycled - Open-loopWEEE - Mixed</v>
      </c>
      <c r="N416" s="284"/>
      <c r="O416" s="283"/>
      <c r="P416" s="283"/>
      <c r="Q416" s="283"/>
      <c r="R416" s="283"/>
      <c r="S416" s="222">
        <v>21.280193798449599</v>
      </c>
      <c r="T416" s="388">
        <v>21.280999999999999</v>
      </c>
      <c r="U416" s="241" t="s">
        <v>281</v>
      </c>
      <c r="V416" s="241"/>
      <c r="W416" s="218" t="s">
        <v>1177</v>
      </c>
      <c r="X416" s="67"/>
      <c r="Y416" s="389"/>
      <c r="Z416" s="67"/>
      <c r="AA416" s="67"/>
      <c r="AB416" s="67"/>
      <c r="AC416" s="67"/>
    </row>
    <row r="417" spans="2:29" ht="14.25" customHeight="1">
      <c r="B417" s="166"/>
      <c r="C417" s="173"/>
      <c r="D417" s="241">
        <v>3</v>
      </c>
      <c r="E417" s="241" t="s">
        <v>483</v>
      </c>
      <c r="F417" s="241" t="str">
        <f t="shared" si="43"/>
        <v>3 - Waste Generated in Operations</v>
      </c>
      <c r="G417" s="241" t="s">
        <v>307</v>
      </c>
      <c r="H417" s="241" t="s">
        <v>494</v>
      </c>
      <c r="I417" s="241"/>
      <c r="J417" s="241" t="s">
        <v>308</v>
      </c>
      <c r="K417" s="241" t="s">
        <v>280</v>
      </c>
      <c r="L417" s="241" t="str">
        <f t="shared" si="44"/>
        <v>Aggregates</v>
      </c>
      <c r="M417" s="215" t="str">
        <f t="shared" si="45"/>
        <v>Recycled - Closed-loopAggregates</v>
      </c>
      <c r="N417" s="284"/>
      <c r="O417" s="283"/>
      <c r="P417" s="283"/>
      <c r="Q417" s="283"/>
      <c r="R417" s="283"/>
      <c r="S417" s="222">
        <v>0.98470000000000002</v>
      </c>
      <c r="T417" s="388">
        <v>0.98499999999999999</v>
      </c>
      <c r="U417" s="241" t="s">
        <v>281</v>
      </c>
      <c r="V417" s="241"/>
      <c r="W417" s="218" t="s">
        <v>1178</v>
      </c>
      <c r="X417" s="67"/>
      <c r="Y417" s="389"/>
      <c r="Z417" s="67"/>
      <c r="AA417" s="67"/>
      <c r="AB417" s="67"/>
      <c r="AC417" s="67"/>
    </row>
    <row r="418" spans="2:29" ht="14.25" customHeight="1">
      <c r="B418" s="166"/>
      <c r="C418" s="173"/>
      <c r="D418" s="241">
        <v>3</v>
      </c>
      <c r="E418" s="241" t="s">
        <v>483</v>
      </c>
      <c r="F418" s="241" t="str">
        <f t="shared" si="43"/>
        <v>3 - Waste Generated in Operations</v>
      </c>
      <c r="G418" s="241" t="s">
        <v>307</v>
      </c>
      <c r="H418" s="241" t="s">
        <v>495</v>
      </c>
      <c r="I418" s="241"/>
      <c r="J418" s="241" t="s">
        <v>308</v>
      </c>
      <c r="K418" s="241" t="s">
        <v>485</v>
      </c>
      <c r="L418" s="241" t="str">
        <f t="shared" si="44"/>
        <v>Asbestos</v>
      </c>
      <c r="M418" s="215" t="str">
        <f t="shared" si="45"/>
        <v>LandfillAsbestos</v>
      </c>
      <c r="N418" s="284"/>
      <c r="O418" s="283"/>
      <c r="P418" s="283"/>
      <c r="Q418" s="283"/>
      <c r="R418" s="283"/>
      <c r="S418" s="222">
        <v>5.9180000000000001</v>
      </c>
      <c r="T418" s="388">
        <v>5.9130000000000003</v>
      </c>
      <c r="U418" s="241" t="s">
        <v>281</v>
      </c>
      <c r="V418" s="241"/>
      <c r="W418" s="218" t="s">
        <v>1179</v>
      </c>
      <c r="X418" s="67"/>
      <c r="Y418" s="389"/>
      <c r="Z418" s="67"/>
      <c r="AA418" s="67"/>
      <c r="AB418" s="67"/>
      <c r="AC418" s="67"/>
    </row>
    <row r="419" spans="2:29" ht="14.25" customHeight="1">
      <c r="B419" s="166"/>
      <c r="C419" s="173"/>
      <c r="D419" s="241">
        <v>3</v>
      </c>
      <c r="E419" s="241" t="s">
        <v>483</v>
      </c>
      <c r="F419" s="241" t="str">
        <f t="shared" si="43"/>
        <v>3 - Waste Generated in Operations</v>
      </c>
      <c r="G419" s="241" t="s">
        <v>307</v>
      </c>
      <c r="H419" s="241" t="s">
        <v>496</v>
      </c>
      <c r="I419" s="241"/>
      <c r="J419" s="241" t="s">
        <v>308</v>
      </c>
      <c r="K419" s="241" t="s">
        <v>493</v>
      </c>
      <c r="L419" s="241" t="str">
        <f t="shared" si="44"/>
        <v>Bricks</v>
      </c>
      <c r="M419" s="215" t="str">
        <f t="shared" si="45"/>
        <v>Recycled - Open-loopBricks</v>
      </c>
      <c r="N419" s="284"/>
      <c r="O419" s="283"/>
      <c r="P419" s="283"/>
      <c r="Q419" s="283"/>
      <c r="R419" s="283"/>
      <c r="S419" s="222">
        <v>0.98470000000000002</v>
      </c>
      <c r="T419" s="388">
        <v>0.98499999999999999</v>
      </c>
      <c r="U419" s="241" t="s">
        <v>281</v>
      </c>
      <c r="V419" s="241"/>
      <c r="W419" s="218" t="s">
        <v>1180</v>
      </c>
      <c r="X419" s="67"/>
      <c r="Y419" s="389"/>
      <c r="Z419" s="67"/>
      <c r="AA419" s="67"/>
      <c r="AB419" s="67"/>
      <c r="AC419" s="67"/>
    </row>
    <row r="420" spans="2:29" ht="14.25" customHeight="1">
      <c r="B420" s="166"/>
      <c r="C420" s="173"/>
      <c r="D420" s="241">
        <v>3</v>
      </c>
      <c r="E420" s="241" t="s">
        <v>483</v>
      </c>
      <c r="F420" s="241" t="str">
        <f t="shared" si="43"/>
        <v>3 - Waste Generated in Operations</v>
      </c>
      <c r="G420" s="241" t="s">
        <v>307</v>
      </c>
      <c r="H420" s="241" t="s">
        <v>496</v>
      </c>
      <c r="I420" s="241"/>
      <c r="J420" s="241" t="s">
        <v>308</v>
      </c>
      <c r="K420" s="241" t="s">
        <v>485</v>
      </c>
      <c r="L420" s="241" t="str">
        <f t="shared" si="44"/>
        <v>Bricks</v>
      </c>
      <c r="M420" s="215" t="str">
        <f t="shared" si="45"/>
        <v>LandfillBricks</v>
      </c>
      <c r="N420" s="284"/>
      <c r="O420" s="283"/>
      <c r="P420" s="283"/>
      <c r="Q420" s="283"/>
      <c r="R420" s="283"/>
      <c r="S420" s="222">
        <v>1.234</v>
      </c>
      <c r="T420" s="388">
        <v>1.234</v>
      </c>
      <c r="U420" s="241" t="s">
        <v>281</v>
      </c>
      <c r="V420" s="241"/>
      <c r="W420" s="218" t="s">
        <v>1181</v>
      </c>
      <c r="X420" s="67"/>
      <c r="Y420" s="389"/>
      <c r="Z420" s="67"/>
      <c r="AA420" s="67"/>
      <c r="AB420" s="67"/>
      <c r="AC420" s="67"/>
    </row>
    <row r="421" spans="2:29" ht="14.25" customHeight="1">
      <c r="B421" s="166"/>
      <c r="C421" s="173"/>
      <c r="D421" s="241">
        <v>3</v>
      </c>
      <c r="E421" s="241" t="s">
        <v>483</v>
      </c>
      <c r="F421" s="241" t="str">
        <f t="shared" si="43"/>
        <v>3 - Waste Generated in Operations</v>
      </c>
      <c r="G421" s="241" t="s">
        <v>307</v>
      </c>
      <c r="H421" s="241" t="s">
        <v>497</v>
      </c>
      <c r="I421" s="241"/>
      <c r="J421" s="241" t="s">
        <v>308</v>
      </c>
      <c r="K421" s="241" t="s">
        <v>485</v>
      </c>
      <c r="L421" s="241" t="str">
        <f t="shared" si="44"/>
        <v>Insulation</v>
      </c>
      <c r="M421" s="215" t="str">
        <f t="shared" si="45"/>
        <v>LandfillInsulation</v>
      </c>
      <c r="N421" s="284"/>
      <c r="O421" s="283"/>
      <c r="P421" s="283"/>
      <c r="Q421" s="283"/>
      <c r="R421" s="283"/>
      <c r="S421" s="222">
        <v>1.234</v>
      </c>
      <c r="T421" s="388">
        <v>1.234</v>
      </c>
      <c r="U421" s="241" t="s">
        <v>281</v>
      </c>
      <c r="V421" s="241"/>
      <c r="W421" s="218" t="s">
        <v>1182</v>
      </c>
      <c r="X421" s="67"/>
      <c r="Y421" s="389"/>
      <c r="Z421" s="67"/>
      <c r="AA421" s="67"/>
      <c r="AB421" s="67"/>
      <c r="AC421" s="67"/>
    </row>
    <row r="422" spans="2:29" ht="14.25" customHeight="1">
      <c r="B422" s="166"/>
      <c r="C422" s="173"/>
      <c r="D422" s="241">
        <v>3</v>
      </c>
      <c r="E422" s="241" t="s">
        <v>483</v>
      </c>
      <c r="F422" s="241" t="str">
        <f t="shared" si="43"/>
        <v>3 - Waste Generated in Operations</v>
      </c>
      <c r="G422" s="241" t="s">
        <v>307</v>
      </c>
      <c r="H422" s="241" t="s">
        <v>498</v>
      </c>
      <c r="I422" s="241"/>
      <c r="J422" s="241" t="s">
        <v>308</v>
      </c>
      <c r="K422" s="241" t="s">
        <v>280</v>
      </c>
      <c r="L422" s="241" t="str">
        <f t="shared" si="44"/>
        <v>Metals</v>
      </c>
      <c r="M422" s="215" t="str">
        <f t="shared" si="45"/>
        <v>Recycled - Closed-loopMetals</v>
      </c>
      <c r="N422" s="284"/>
      <c r="O422" s="283"/>
      <c r="P422" s="283"/>
      <c r="Q422" s="283"/>
      <c r="R422" s="283"/>
      <c r="S422" s="222">
        <v>0.98470000000000002</v>
      </c>
      <c r="T422" s="388">
        <v>0.98499999999999999</v>
      </c>
      <c r="U422" s="241" t="s">
        <v>281</v>
      </c>
      <c r="V422" s="241"/>
      <c r="W422" s="218" t="s">
        <v>1183</v>
      </c>
      <c r="X422" s="67"/>
      <c r="Y422" s="389"/>
      <c r="Z422" s="67"/>
      <c r="AA422" s="67"/>
      <c r="AB422" s="67"/>
      <c r="AC422" s="67"/>
    </row>
    <row r="423" spans="2:29" ht="14.25" customHeight="1">
      <c r="B423" s="166"/>
      <c r="C423" s="173"/>
      <c r="D423" s="241">
        <v>3</v>
      </c>
      <c r="E423" s="241" t="s">
        <v>483</v>
      </c>
      <c r="F423" s="241" t="str">
        <f t="shared" si="43"/>
        <v>3 - Waste Generated in Operations</v>
      </c>
      <c r="G423" s="241" t="s">
        <v>307</v>
      </c>
      <c r="H423" s="241" t="s">
        <v>499</v>
      </c>
      <c r="I423" s="241"/>
      <c r="J423" s="241" t="s">
        <v>308</v>
      </c>
      <c r="K423" s="241" t="s">
        <v>280</v>
      </c>
      <c r="L423" s="241" t="str">
        <f t="shared" si="44"/>
        <v>Soils</v>
      </c>
      <c r="M423" s="215" t="str">
        <f t="shared" si="45"/>
        <v>Recycled - Closed-loopSoils</v>
      </c>
      <c r="N423" s="284"/>
      <c r="O423" s="283"/>
      <c r="P423" s="283"/>
      <c r="Q423" s="283"/>
      <c r="R423" s="283"/>
      <c r="S423" s="222">
        <v>0.98470000000000002</v>
      </c>
      <c r="T423" s="388">
        <v>0.98499999999999999</v>
      </c>
      <c r="U423" s="241" t="s">
        <v>281</v>
      </c>
      <c r="V423" s="241"/>
      <c r="W423" s="218" t="s">
        <v>1184</v>
      </c>
      <c r="X423" s="67"/>
      <c r="Y423" s="389"/>
      <c r="Z423" s="67"/>
      <c r="AA423" s="67"/>
      <c r="AB423" s="67"/>
      <c r="AC423" s="67"/>
    </row>
    <row r="424" spans="2:29" ht="14.25" customHeight="1">
      <c r="B424" s="166"/>
      <c r="C424" s="173"/>
      <c r="D424" s="241">
        <v>3</v>
      </c>
      <c r="E424" s="241" t="s">
        <v>483</v>
      </c>
      <c r="F424" s="241" t="str">
        <f t="shared" si="43"/>
        <v>3 - Waste Generated in Operations</v>
      </c>
      <c r="G424" s="241" t="s">
        <v>307</v>
      </c>
      <c r="H424" s="241" t="s">
        <v>500</v>
      </c>
      <c r="I424" s="241"/>
      <c r="J424" s="241" t="s">
        <v>308</v>
      </c>
      <c r="K424" s="241" t="s">
        <v>280</v>
      </c>
      <c r="L424" s="241" t="str">
        <f t="shared" si="44"/>
        <v>Mineral oil</v>
      </c>
      <c r="M424" s="215" t="str">
        <f t="shared" si="45"/>
        <v>Recycled - Closed-loopMineral oil</v>
      </c>
      <c r="N424" s="284"/>
      <c r="O424" s="283"/>
      <c r="P424" s="283"/>
      <c r="Q424" s="283"/>
      <c r="R424" s="283"/>
      <c r="S424" s="222">
        <v>21.280193798449599</v>
      </c>
      <c r="T424" s="388">
        <v>21.280999999999999</v>
      </c>
      <c r="U424" s="241" t="s">
        <v>281</v>
      </c>
      <c r="V424" s="241"/>
      <c r="W424" s="218" t="s">
        <v>1185</v>
      </c>
      <c r="X424" s="67"/>
      <c r="Y424" s="389"/>
      <c r="Z424" s="67"/>
      <c r="AA424" s="67"/>
      <c r="AB424" s="67"/>
      <c r="AC424" s="67"/>
    </row>
    <row r="425" spans="2:29" ht="14.25" customHeight="1">
      <c r="B425" s="166"/>
      <c r="C425" s="173"/>
      <c r="D425" s="241">
        <v>3</v>
      </c>
      <c r="E425" s="241" t="s">
        <v>483</v>
      </c>
      <c r="F425" s="241" t="str">
        <f t="shared" si="43"/>
        <v>3 - Waste Generated in Operations</v>
      </c>
      <c r="G425" s="241" t="s">
        <v>307</v>
      </c>
      <c r="H425" s="241" t="s">
        <v>501</v>
      </c>
      <c r="I425" s="241"/>
      <c r="J425" s="241" t="s">
        <v>308</v>
      </c>
      <c r="K425" s="241" t="s">
        <v>280</v>
      </c>
      <c r="L425" s="241" t="str">
        <f t="shared" si="44"/>
        <v>Plasterboard</v>
      </c>
      <c r="M425" s="215" t="str">
        <f t="shared" si="45"/>
        <v>Recycled - Closed-loopPlasterboard</v>
      </c>
      <c r="N425" s="284"/>
      <c r="O425" s="283"/>
      <c r="P425" s="283"/>
      <c r="Q425" s="283"/>
      <c r="R425" s="283"/>
      <c r="S425" s="222">
        <v>21.280193798449599</v>
      </c>
      <c r="T425" s="388">
        <v>21.280999999999999</v>
      </c>
      <c r="U425" s="241" t="s">
        <v>281</v>
      </c>
      <c r="V425" s="241"/>
      <c r="W425" s="218" t="s">
        <v>1186</v>
      </c>
      <c r="X425" s="67"/>
      <c r="Y425" s="389"/>
      <c r="Z425" s="67"/>
      <c r="AA425" s="67"/>
      <c r="AB425" s="67"/>
      <c r="AC425" s="67"/>
    </row>
    <row r="426" spans="2:29" ht="14.25" customHeight="1">
      <c r="B426" s="166"/>
      <c r="C426" s="173"/>
      <c r="D426" s="241">
        <v>3</v>
      </c>
      <c r="E426" s="241" t="s">
        <v>483</v>
      </c>
      <c r="F426" s="241" t="str">
        <f t="shared" si="43"/>
        <v>3 - Waste Generated in Operations</v>
      </c>
      <c r="G426" s="241" t="s">
        <v>307</v>
      </c>
      <c r="H426" s="241" t="s">
        <v>502</v>
      </c>
      <c r="I426" s="241"/>
      <c r="J426" s="241" t="s">
        <v>308</v>
      </c>
      <c r="K426" s="241" t="s">
        <v>280</v>
      </c>
      <c r="L426" s="241" t="str">
        <f t="shared" si="44"/>
        <v>Tyres</v>
      </c>
      <c r="M426" s="215" t="str">
        <f t="shared" si="45"/>
        <v>Recycled - Closed-loopTyres</v>
      </c>
      <c r="N426" s="284"/>
      <c r="O426" s="283"/>
      <c r="P426" s="283"/>
      <c r="Q426" s="283"/>
      <c r="R426" s="283"/>
      <c r="S426" s="222">
        <v>21.280193798449599</v>
      </c>
      <c r="T426" s="388">
        <v>21.280999999999999</v>
      </c>
      <c r="U426" s="241" t="s">
        <v>281</v>
      </c>
      <c r="V426" s="241"/>
      <c r="W426" s="218" t="s">
        <v>1187</v>
      </c>
      <c r="X426" s="67"/>
      <c r="Y426" s="389"/>
      <c r="Z426" s="67"/>
      <c r="AA426" s="67"/>
      <c r="AB426" s="67"/>
      <c r="AC426" s="67"/>
    </row>
    <row r="427" spans="2:29" ht="14.25" customHeight="1">
      <c r="B427" s="166"/>
      <c r="C427" s="173"/>
      <c r="D427" s="241">
        <v>3</v>
      </c>
      <c r="E427" s="241" t="s">
        <v>483</v>
      </c>
      <c r="F427" s="241" t="str">
        <f t="shared" si="43"/>
        <v>3 - Waste Generated in Operations</v>
      </c>
      <c r="G427" s="241" t="s">
        <v>307</v>
      </c>
      <c r="H427" s="241" t="s">
        <v>503</v>
      </c>
      <c r="I427" s="241"/>
      <c r="J427" s="241" t="s">
        <v>308</v>
      </c>
      <c r="K427" s="241" t="s">
        <v>280</v>
      </c>
      <c r="L427" s="241" t="str">
        <f t="shared" si="44"/>
        <v>Wood</v>
      </c>
      <c r="M427" s="215" t="str">
        <f t="shared" si="45"/>
        <v>Recycled - Closed-loopWood</v>
      </c>
      <c r="N427" s="284"/>
      <c r="O427" s="283"/>
      <c r="P427" s="283"/>
      <c r="Q427" s="283"/>
      <c r="R427" s="283"/>
      <c r="S427" s="222">
        <v>21.280193798449599</v>
      </c>
      <c r="T427" s="388">
        <v>21.280999999999999</v>
      </c>
      <c r="U427" s="241" t="s">
        <v>281</v>
      </c>
      <c r="V427" s="241"/>
      <c r="W427" s="218" t="s">
        <v>1188</v>
      </c>
      <c r="X427" s="67"/>
      <c r="Y427" s="389"/>
      <c r="Z427" s="67"/>
      <c r="AA427" s="67"/>
      <c r="AB427" s="67"/>
      <c r="AC427" s="67"/>
    </row>
    <row r="428" spans="2:29" ht="14.25" customHeight="1">
      <c r="B428" s="166"/>
      <c r="C428" s="173"/>
      <c r="D428" s="250"/>
      <c r="E428" s="250"/>
      <c r="F428" s="250"/>
      <c r="G428" s="251"/>
      <c r="H428" s="250"/>
      <c r="I428" s="250"/>
      <c r="J428" s="250"/>
      <c r="K428" s="250"/>
      <c r="L428" s="250"/>
      <c r="M428" s="250"/>
      <c r="N428" s="250"/>
      <c r="O428" s="250"/>
      <c r="P428" s="250"/>
      <c r="Q428" s="250"/>
      <c r="R428" s="250"/>
      <c r="S428" s="250"/>
      <c r="T428" s="250"/>
      <c r="U428" s="250"/>
      <c r="V428" s="250"/>
      <c r="W428" s="250"/>
      <c r="X428" s="67"/>
      <c r="Y428" s="67"/>
      <c r="Z428" s="67"/>
      <c r="AA428" s="67"/>
      <c r="AB428" s="67"/>
      <c r="AC428" s="67"/>
    </row>
    <row r="429" spans="2:29" ht="40.35" customHeight="1">
      <c r="B429" s="166"/>
      <c r="C429" s="173"/>
      <c r="D429" s="274" t="str">
        <f>IF($A$2="English",_xlfn.XLOOKUP($A$14,Descriptions!$A:$A,Descriptions!$B:$B),_xlfn.XLOOKUP($A$14,Descriptions!$A:$A,Descriptions!$C:$C))</f>
        <v>Vav 3 - Virksemi tengt at brennievni og orku</v>
      </c>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67"/>
      <c r="AA429" s="67"/>
      <c r="AB429" s="67"/>
      <c r="AC429" s="67"/>
    </row>
    <row r="430" spans="2:29" ht="14.25" customHeight="1">
      <c r="B430" s="166"/>
      <c r="C430" s="173"/>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row>
    <row r="431" spans="2:29" ht="30.6" customHeight="1">
      <c r="B431" s="166"/>
      <c r="C431" s="173"/>
      <c r="D431" s="154" t="s">
        <v>144</v>
      </c>
      <c r="E431" s="154" t="s">
        <v>145</v>
      </c>
      <c r="F431" s="154" t="s">
        <v>292</v>
      </c>
      <c r="G431" s="154" t="s">
        <v>307</v>
      </c>
      <c r="H431" s="154" t="s">
        <v>404</v>
      </c>
      <c r="I431" s="154" t="s">
        <v>294</v>
      </c>
      <c r="J431" s="154" t="s">
        <v>295</v>
      </c>
      <c r="K431" s="154" t="s">
        <v>230</v>
      </c>
      <c r="L431" s="154" t="s">
        <v>296</v>
      </c>
      <c r="M431" s="154" t="s">
        <v>185</v>
      </c>
      <c r="N431" s="154" t="s">
        <v>297</v>
      </c>
      <c r="O431" s="154" t="s">
        <v>298</v>
      </c>
      <c r="P431" s="154" t="s">
        <v>299</v>
      </c>
      <c r="Q431" s="154" t="s">
        <v>300</v>
      </c>
      <c r="R431" s="154" t="s">
        <v>301</v>
      </c>
      <c r="S431" s="154" t="s">
        <v>302</v>
      </c>
      <c r="T431" s="154" t="s">
        <v>303</v>
      </c>
      <c r="U431" s="154" t="s">
        <v>214</v>
      </c>
      <c r="V431" s="154" t="s">
        <v>304</v>
      </c>
      <c r="W431" s="154" t="s">
        <v>305</v>
      </c>
      <c r="X431" s="67"/>
      <c r="Y431" s="67"/>
      <c r="Z431" s="67"/>
      <c r="AA431" s="67"/>
      <c r="AB431" s="67"/>
      <c r="AC431" s="67"/>
    </row>
    <row r="432" spans="2:29" ht="14.25" customHeight="1">
      <c r="B432" s="166"/>
      <c r="C432" s="173"/>
      <c r="D432" s="212">
        <v>3</v>
      </c>
      <c r="E432" s="212" t="s">
        <v>306</v>
      </c>
      <c r="F432" s="212" t="str">
        <f>D432&amp;" - "&amp;E432</f>
        <v>3 - Stationary Combustion</v>
      </c>
      <c r="G432" s="248" t="s">
        <v>307</v>
      </c>
      <c r="H432" s="212"/>
      <c r="I432" s="212"/>
      <c r="J432" s="212" t="s">
        <v>308</v>
      </c>
      <c r="K432" s="212" t="s">
        <v>191</v>
      </c>
      <c r="L432" s="212" t="s">
        <v>192</v>
      </c>
      <c r="M432" s="215" t="s">
        <v>504</v>
      </c>
      <c r="N432" s="289"/>
      <c r="O432" s="289"/>
      <c r="P432" s="289"/>
      <c r="Q432" s="289"/>
      <c r="R432" s="289"/>
      <c r="S432" s="232">
        <v>5.8880000000000002E-2</v>
      </c>
      <c r="T432" s="388">
        <v>5.9130000000000002E-2</v>
      </c>
      <c r="U432" s="212" t="s">
        <v>204</v>
      </c>
      <c r="V432" s="212" t="s">
        <v>505</v>
      </c>
      <c r="W432" s="218" t="s">
        <v>1255</v>
      </c>
      <c r="X432" s="73"/>
      <c r="Y432" s="389"/>
      <c r="Z432" s="67"/>
      <c r="AA432" s="67"/>
      <c r="AB432" s="67"/>
      <c r="AC432" s="67"/>
    </row>
    <row r="433" spans="2:29" ht="14.25" customHeight="1">
      <c r="B433" s="166"/>
      <c r="C433" s="173"/>
      <c r="D433" s="212">
        <v>3</v>
      </c>
      <c r="E433" s="212" t="s">
        <v>306</v>
      </c>
      <c r="F433" s="212" t="str">
        <f t="shared" ref="F433:F496" si="47">D433&amp;" - "&amp;E433</f>
        <v>3 - Stationary Combustion</v>
      </c>
      <c r="G433" s="248" t="s">
        <v>307</v>
      </c>
      <c r="H433" s="212"/>
      <c r="I433" s="212"/>
      <c r="J433" s="212" t="s">
        <v>308</v>
      </c>
      <c r="K433" s="212" t="s">
        <v>196</v>
      </c>
      <c r="L433" s="212" t="s">
        <v>192</v>
      </c>
      <c r="M433" s="215" t="s">
        <v>506</v>
      </c>
      <c r="N433" s="289"/>
      <c r="O433" s="289"/>
      <c r="P433" s="289"/>
      <c r="Q433" s="289"/>
      <c r="R433" s="289"/>
      <c r="S433" s="232">
        <v>5.8880000000000002E-2</v>
      </c>
      <c r="T433" s="388">
        <v>5.9130000000000002E-2</v>
      </c>
      <c r="U433" s="212" t="s">
        <v>204</v>
      </c>
      <c r="V433" s="212" t="s">
        <v>507</v>
      </c>
      <c r="W433" s="218" t="s">
        <v>1256</v>
      </c>
      <c r="X433" s="73"/>
      <c r="Y433" s="389"/>
      <c r="Z433" s="67"/>
      <c r="AA433" s="67"/>
      <c r="AB433" s="67"/>
      <c r="AC433" s="67"/>
    </row>
    <row r="434" spans="2:29" ht="14.25" customHeight="1">
      <c r="B434" s="166"/>
      <c r="C434" s="173"/>
      <c r="D434" s="212">
        <v>3</v>
      </c>
      <c r="E434" s="212" t="s">
        <v>306</v>
      </c>
      <c r="F434" s="212" t="str">
        <f t="shared" si="47"/>
        <v>3 - Stationary Combustion</v>
      </c>
      <c r="G434" s="248" t="s">
        <v>307</v>
      </c>
      <c r="H434" s="212"/>
      <c r="I434" s="212"/>
      <c r="J434" s="212" t="s">
        <v>308</v>
      </c>
      <c r="K434" s="212" t="s">
        <v>311</v>
      </c>
      <c r="L434" s="212" t="s">
        <v>192</v>
      </c>
      <c r="M434" s="215" t="s">
        <v>508</v>
      </c>
      <c r="N434" s="289"/>
      <c r="O434" s="289"/>
      <c r="P434" s="289"/>
      <c r="Q434" s="289"/>
      <c r="R434" s="289"/>
      <c r="S434" s="232">
        <v>5.1299999999999998E-2</v>
      </c>
      <c r="T434" s="388">
        <v>5.1529999999999999E-2</v>
      </c>
      <c r="U434" s="212" t="s">
        <v>204</v>
      </c>
      <c r="V434" s="212" t="s">
        <v>509</v>
      </c>
      <c r="W434" s="218" t="s">
        <v>1257</v>
      </c>
      <c r="X434" s="73"/>
      <c r="Y434" s="389"/>
      <c r="Z434" s="67"/>
      <c r="AA434" s="67"/>
      <c r="AB434" s="67"/>
      <c r="AC434" s="67"/>
    </row>
    <row r="435" spans="2:29" ht="14.25" customHeight="1">
      <c r="B435" s="166"/>
      <c r="C435" s="173"/>
      <c r="D435" s="212">
        <v>3</v>
      </c>
      <c r="E435" s="212" t="s">
        <v>306</v>
      </c>
      <c r="F435" s="212" t="str">
        <f t="shared" si="47"/>
        <v>3 - Stationary Combustion</v>
      </c>
      <c r="G435" s="248" t="s">
        <v>307</v>
      </c>
      <c r="H435" s="212"/>
      <c r="I435" s="212"/>
      <c r="J435" s="212" t="s">
        <v>308</v>
      </c>
      <c r="K435" s="212" t="s">
        <v>312</v>
      </c>
      <c r="L435" s="212" t="s">
        <v>192</v>
      </c>
      <c r="M435" s="215" t="s">
        <v>510</v>
      </c>
      <c r="N435" s="289"/>
      <c r="O435" s="289"/>
      <c r="P435" s="289"/>
      <c r="Q435" s="289"/>
      <c r="R435" s="289"/>
      <c r="S435" s="232">
        <v>2.5319999999999999E-2</v>
      </c>
      <c r="T435" s="388">
        <v>2.7359999999999999E-2</v>
      </c>
      <c r="U435" s="212" t="s">
        <v>204</v>
      </c>
      <c r="V435" s="212" t="s">
        <v>511</v>
      </c>
      <c r="W435" s="218" t="s">
        <v>1258</v>
      </c>
      <c r="X435" s="73"/>
      <c r="Y435" s="389"/>
      <c r="Z435" s="67"/>
      <c r="AA435" s="67"/>
      <c r="AB435" s="67"/>
      <c r="AC435" s="67"/>
    </row>
    <row r="436" spans="2:29" ht="14.25" customHeight="1">
      <c r="B436" s="166"/>
      <c r="C436" s="173"/>
      <c r="D436" s="212">
        <v>3</v>
      </c>
      <c r="E436" s="212" t="s">
        <v>306</v>
      </c>
      <c r="F436" s="212" t="str">
        <f t="shared" si="47"/>
        <v>3 - Stationary Combustion</v>
      </c>
      <c r="G436" s="248" t="s">
        <v>307</v>
      </c>
      <c r="H436" s="212"/>
      <c r="I436" s="212"/>
      <c r="J436" s="212" t="s">
        <v>308</v>
      </c>
      <c r="K436" s="212" t="s">
        <v>313</v>
      </c>
      <c r="L436" s="212" t="s">
        <v>192</v>
      </c>
      <c r="M436" s="215" t="s">
        <v>512</v>
      </c>
      <c r="N436" s="289"/>
      <c r="O436" s="289"/>
      <c r="P436" s="289"/>
      <c r="Q436" s="289"/>
      <c r="R436" s="289"/>
      <c r="S436" s="232">
        <v>2.8410000000000001E-2</v>
      </c>
      <c r="T436" s="388">
        <v>2.8410000000000001E-2</v>
      </c>
      <c r="U436" s="212" t="s">
        <v>204</v>
      </c>
      <c r="V436" s="212" t="s">
        <v>513</v>
      </c>
      <c r="W436" s="218" t="s">
        <v>1189</v>
      </c>
      <c r="X436" s="73"/>
      <c r="Y436" s="389"/>
      <c r="Z436" s="67"/>
      <c r="AA436" s="67"/>
      <c r="AB436" s="67"/>
      <c r="AC436" s="67"/>
    </row>
    <row r="437" spans="2:29" ht="14.25" customHeight="1">
      <c r="B437" s="166"/>
      <c r="C437" s="173"/>
      <c r="D437" s="212">
        <v>3</v>
      </c>
      <c r="E437" s="212" t="s">
        <v>306</v>
      </c>
      <c r="F437" s="212" t="str">
        <f t="shared" si="47"/>
        <v>3 - Stationary Combustion</v>
      </c>
      <c r="G437" s="248" t="s">
        <v>307</v>
      </c>
      <c r="H437" s="212"/>
      <c r="I437" s="212"/>
      <c r="J437" s="212" t="s">
        <v>308</v>
      </c>
      <c r="K437" s="212" t="s">
        <v>314</v>
      </c>
      <c r="L437" s="212" t="s">
        <v>192</v>
      </c>
      <c r="M437" s="215" t="s">
        <v>514</v>
      </c>
      <c r="N437" s="289"/>
      <c r="O437" s="289"/>
      <c r="P437" s="289"/>
      <c r="Q437" s="289"/>
      <c r="R437" s="289"/>
      <c r="S437" s="232">
        <v>3.7440000000000001E-2</v>
      </c>
      <c r="T437" s="388">
        <v>3.7440000000000001E-2</v>
      </c>
      <c r="U437" s="212" t="s">
        <v>204</v>
      </c>
      <c r="V437" s="212" t="str">
        <f>K437</f>
        <v>Wood Pellets</v>
      </c>
      <c r="W437" s="218" t="s">
        <v>1190</v>
      </c>
      <c r="X437" s="73"/>
      <c r="Y437" s="389"/>
      <c r="Z437" s="67"/>
      <c r="AA437" s="67"/>
      <c r="AB437" s="67"/>
      <c r="AC437" s="67"/>
    </row>
    <row r="438" spans="2:29" ht="14.25" customHeight="1">
      <c r="B438" s="166"/>
      <c r="C438" s="173"/>
      <c r="D438" s="212">
        <v>3</v>
      </c>
      <c r="E438" s="212" t="s">
        <v>306</v>
      </c>
      <c r="F438" s="212" t="str">
        <f t="shared" si="47"/>
        <v>3 - Stationary Combustion</v>
      </c>
      <c r="G438" s="248" t="s">
        <v>307</v>
      </c>
      <c r="H438" s="212"/>
      <c r="I438" s="212"/>
      <c r="J438" s="212" t="s">
        <v>308</v>
      </c>
      <c r="K438" s="212" t="s">
        <v>315</v>
      </c>
      <c r="L438" s="212" t="s">
        <v>192</v>
      </c>
      <c r="M438" s="215" t="s">
        <v>515</v>
      </c>
      <c r="N438" s="289"/>
      <c r="O438" s="289"/>
      <c r="P438" s="289"/>
      <c r="Q438" s="289"/>
      <c r="R438" s="289"/>
      <c r="S438" s="232">
        <v>2.503E-2</v>
      </c>
      <c r="T438" s="388">
        <v>2.5190000000000001E-2</v>
      </c>
      <c r="U438" s="212" t="s">
        <v>204</v>
      </c>
      <c r="V438" s="212" t="s">
        <v>516</v>
      </c>
      <c r="W438" s="218" t="s">
        <v>1259</v>
      </c>
      <c r="X438" s="73"/>
      <c r="Y438" s="389"/>
      <c r="Z438" s="67"/>
      <c r="AA438" s="67"/>
      <c r="AB438" s="67"/>
      <c r="AC438" s="67"/>
    </row>
    <row r="439" spans="2:29" ht="14.25" customHeight="1">
      <c r="B439" s="166"/>
      <c r="C439" s="173"/>
      <c r="D439" s="212">
        <v>3</v>
      </c>
      <c r="E439" s="212" t="s">
        <v>306</v>
      </c>
      <c r="F439" s="212" t="str">
        <f t="shared" si="47"/>
        <v>3 - Stationary Combustion</v>
      </c>
      <c r="G439" s="248" t="s">
        <v>307</v>
      </c>
      <c r="H439" s="212"/>
      <c r="I439" s="212"/>
      <c r="J439" s="212" t="s">
        <v>308</v>
      </c>
      <c r="K439" s="212" t="s">
        <v>316</v>
      </c>
      <c r="L439" s="212" t="s">
        <v>192</v>
      </c>
      <c r="M439" s="215" t="s">
        <v>517</v>
      </c>
      <c r="N439" s="289"/>
      <c r="O439" s="289"/>
      <c r="P439" s="289"/>
      <c r="Q439" s="289"/>
      <c r="R439" s="289"/>
      <c r="S439" s="232">
        <v>0.25090000000000001</v>
      </c>
      <c r="T439" s="388">
        <v>2.5239999999999999E-2</v>
      </c>
      <c r="U439" s="212" t="s">
        <v>204</v>
      </c>
      <c r="V439" s="212" t="s">
        <v>518</v>
      </c>
      <c r="W439" s="218" t="s">
        <v>1260</v>
      </c>
      <c r="X439" s="73"/>
      <c r="Y439" s="389"/>
      <c r="Z439" s="67"/>
      <c r="AA439" s="67"/>
      <c r="AB439" s="67"/>
      <c r="AC439" s="67"/>
    </row>
    <row r="440" spans="2:29" ht="14.25" customHeight="1">
      <c r="B440" s="166"/>
      <c r="C440" s="173"/>
      <c r="D440" s="212">
        <v>3</v>
      </c>
      <c r="E440" s="212" t="s">
        <v>306</v>
      </c>
      <c r="F440" s="212" t="str">
        <f t="shared" si="47"/>
        <v>3 - Stationary Combustion</v>
      </c>
      <c r="G440" s="248" t="s">
        <v>307</v>
      </c>
      <c r="H440" s="212"/>
      <c r="I440" s="212"/>
      <c r="J440" s="212" t="s">
        <v>308</v>
      </c>
      <c r="K440" s="212" t="s">
        <v>317</v>
      </c>
      <c r="L440" s="212" t="s">
        <v>192</v>
      </c>
      <c r="M440" s="215" t="s">
        <v>519</v>
      </c>
      <c r="N440" s="289"/>
      <c r="O440" s="289"/>
      <c r="P440" s="289"/>
      <c r="Q440" s="289"/>
      <c r="R440" s="289"/>
      <c r="S440" s="232">
        <v>6.5629999999999994E-2</v>
      </c>
      <c r="T440" s="388">
        <v>8.8950000000000001E-2</v>
      </c>
      <c r="U440" s="212" t="s">
        <v>204</v>
      </c>
      <c r="V440" s="212" t="s">
        <v>520</v>
      </c>
      <c r="W440" s="218" t="s">
        <v>1261</v>
      </c>
      <c r="X440" s="73"/>
      <c r="Y440" s="389"/>
      <c r="Z440" s="67"/>
      <c r="AA440" s="67"/>
      <c r="AB440" s="67"/>
      <c r="AC440" s="67"/>
    </row>
    <row r="441" spans="2:29" ht="14.25" customHeight="1">
      <c r="B441" s="166"/>
      <c r="C441" s="173"/>
      <c r="D441" s="212">
        <v>3</v>
      </c>
      <c r="E441" s="212" t="s">
        <v>306</v>
      </c>
      <c r="F441" s="212" t="str">
        <f t="shared" si="47"/>
        <v>3 - Stationary Combustion</v>
      </c>
      <c r="G441" s="248" t="s">
        <v>307</v>
      </c>
      <c r="H441" s="212"/>
      <c r="I441" s="212"/>
      <c r="J441" s="212" t="s">
        <v>308</v>
      </c>
      <c r="K441" s="212" t="s">
        <v>318</v>
      </c>
      <c r="L441" s="212" t="s">
        <v>192</v>
      </c>
      <c r="M441" s="215" t="s">
        <v>521</v>
      </c>
      <c r="N441" s="289"/>
      <c r="O441" s="289"/>
      <c r="P441" s="289"/>
      <c r="Q441" s="289"/>
      <c r="R441" s="289"/>
      <c r="S441" s="232">
        <v>1.277E-2</v>
      </c>
      <c r="T441" s="388">
        <v>1.277E-2</v>
      </c>
      <c r="U441" s="212" t="s">
        <v>204</v>
      </c>
      <c r="V441" s="212" t="str">
        <f>K441</f>
        <v>Wood logs</v>
      </c>
      <c r="W441" s="218" t="s">
        <v>1191</v>
      </c>
      <c r="X441" s="73"/>
      <c r="Y441" s="389"/>
      <c r="Z441" s="67"/>
      <c r="AA441" s="67"/>
      <c r="AB441" s="67"/>
      <c r="AC441" s="67"/>
    </row>
    <row r="442" spans="2:29" ht="14.25" customHeight="1">
      <c r="B442" s="166"/>
      <c r="C442" s="173"/>
      <c r="D442" s="212">
        <v>3</v>
      </c>
      <c r="E442" s="212" t="s">
        <v>306</v>
      </c>
      <c r="F442" s="212" t="str">
        <f t="shared" si="47"/>
        <v>3 - Stationary Combustion</v>
      </c>
      <c r="G442" s="248" t="s">
        <v>307</v>
      </c>
      <c r="H442" s="212"/>
      <c r="I442" s="212"/>
      <c r="J442" s="212" t="s">
        <v>308</v>
      </c>
      <c r="K442" s="212" t="s">
        <v>319</v>
      </c>
      <c r="L442" s="212" t="s">
        <v>192</v>
      </c>
      <c r="M442" s="215" t="s">
        <v>522</v>
      </c>
      <c r="N442" s="289"/>
      <c r="O442" s="289"/>
      <c r="P442" s="289"/>
      <c r="Q442" s="289"/>
      <c r="R442" s="289"/>
      <c r="S442" s="232">
        <v>7.92E-3</v>
      </c>
      <c r="T442" s="388">
        <v>7.92E-3</v>
      </c>
      <c r="U442" s="212" t="s">
        <v>204</v>
      </c>
      <c r="V442" s="212" t="str">
        <f>K442</f>
        <v>Wood chips</v>
      </c>
      <c r="W442" s="218" t="s">
        <v>1192</v>
      </c>
      <c r="X442" s="73"/>
      <c r="Y442" s="389"/>
      <c r="Z442" s="67"/>
      <c r="AA442" s="67"/>
      <c r="AB442" s="67"/>
      <c r="AC442" s="67"/>
    </row>
    <row r="443" spans="2:29" ht="14.25" customHeight="1">
      <c r="B443" s="166"/>
      <c r="C443" s="173"/>
      <c r="D443" s="212">
        <v>3</v>
      </c>
      <c r="E443" s="212" t="s">
        <v>306</v>
      </c>
      <c r="F443" s="212" t="str">
        <f t="shared" si="47"/>
        <v>3 - Stationary Combustion</v>
      </c>
      <c r="G443" s="248" t="s">
        <v>307</v>
      </c>
      <c r="H443" s="212" t="s">
        <v>320</v>
      </c>
      <c r="I443" s="212"/>
      <c r="J443" s="212" t="s">
        <v>308</v>
      </c>
      <c r="K443" s="212" t="s">
        <v>191</v>
      </c>
      <c r="L443" s="212" t="s">
        <v>320</v>
      </c>
      <c r="M443" s="215" t="s">
        <v>523</v>
      </c>
      <c r="N443" s="289"/>
      <c r="O443" s="289"/>
      <c r="P443" s="289"/>
      <c r="Q443" s="289"/>
      <c r="R443" s="289"/>
      <c r="S443" s="232">
        <v>5.8880000000000002E-2</v>
      </c>
      <c r="T443" s="388">
        <v>5.9130000000000002E-2</v>
      </c>
      <c r="U443" s="212" t="s">
        <v>204</v>
      </c>
      <c r="V443" s="212" t="s">
        <v>505</v>
      </c>
      <c r="W443" s="218" t="s">
        <v>1255</v>
      </c>
      <c r="X443" s="73"/>
      <c r="Y443" s="389"/>
      <c r="Z443" s="67"/>
      <c r="AA443" s="67"/>
      <c r="AB443" s="67"/>
      <c r="AC443" s="67"/>
    </row>
    <row r="444" spans="2:29" ht="14.25" customHeight="1">
      <c r="B444" s="166"/>
      <c r="C444" s="173"/>
      <c r="D444" s="212">
        <v>3</v>
      </c>
      <c r="E444" s="212" t="s">
        <v>306</v>
      </c>
      <c r="F444" s="212" t="str">
        <f t="shared" si="47"/>
        <v>3 - Stationary Combustion</v>
      </c>
      <c r="G444" s="248" t="s">
        <v>307</v>
      </c>
      <c r="H444" s="212" t="s">
        <v>320</v>
      </c>
      <c r="I444" s="212"/>
      <c r="J444" s="212" t="s">
        <v>308</v>
      </c>
      <c r="K444" s="212" t="s">
        <v>196</v>
      </c>
      <c r="L444" s="212" t="s">
        <v>320</v>
      </c>
      <c r="M444" s="215" t="s">
        <v>524</v>
      </c>
      <c r="N444" s="289"/>
      <c r="O444" s="289"/>
      <c r="P444" s="289"/>
      <c r="Q444" s="289"/>
      <c r="R444" s="289"/>
      <c r="S444" s="232">
        <v>5.8880000000000002E-2</v>
      </c>
      <c r="T444" s="388">
        <v>5.9130000000000002E-2</v>
      </c>
      <c r="U444" s="212" t="s">
        <v>204</v>
      </c>
      <c r="V444" s="212" t="s">
        <v>507</v>
      </c>
      <c r="W444" s="218" t="s">
        <v>1256</v>
      </c>
      <c r="X444" s="73"/>
      <c r="Y444" s="389"/>
      <c r="Z444" s="67"/>
      <c r="AA444" s="67"/>
      <c r="AB444" s="67"/>
      <c r="AC444" s="67"/>
    </row>
    <row r="445" spans="2:29" ht="14.25" customHeight="1">
      <c r="B445" s="166"/>
      <c r="C445" s="173"/>
      <c r="D445" s="212">
        <v>3</v>
      </c>
      <c r="E445" s="212" t="s">
        <v>306</v>
      </c>
      <c r="F445" s="212" t="str">
        <f t="shared" si="47"/>
        <v>3 - Stationary Combustion</v>
      </c>
      <c r="G445" s="248" t="s">
        <v>307</v>
      </c>
      <c r="H445" s="212" t="s">
        <v>322</v>
      </c>
      <c r="I445" s="212"/>
      <c r="J445" s="212" t="s">
        <v>308</v>
      </c>
      <c r="K445" s="212" t="s">
        <v>191</v>
      </c>
      <c r="L445" s="212" t="s">
        <v>322</v>
      </c>
      <c r="M445" s="215" t="s">
        <v>525</v>
      </c>
      <c r="N445" s="289"/>
      <c r="O445" s="289"/>
      <c r="P445" s="289"/>
      <c r="Q445" s="289"/>
      <c r="R445" s="289"/>
      <c r="S445" s="232">
        <v>5.8880000000000002E-2</v>
      </c>
      <c r="T445" s="388">
        <v>5.9130000000000002E-2</v>
      </c>
      <c r="U445" s="212" t="s">
        <v>204</v>
      </c>
      <c r="V445" s="212" t="s">
        <v>505</v>
      </c>
      <c r="W445" s="218" t="s">
        <v>1255</v>
      </c>
      <c r="X445" s="73"/>
      <c r="Y445" s="389"/>
      <c r="Z445" s="67"/>
      <c r="AA445" s="67"/>
      <c r="AB445" s="67"/>
      <c r="AC445" s="67"/>
    </row>
    <row r="446" spans="2:29" ht="14.25" customHeight="1">
      <c r="B446" s="166"/>
      <c r="C446" s="173"/>
      <c r="D446" s="212">
        <v>3</v>
      </c>
      <c r="E446" s="212" t="s">
        <v>306</v>
      </c>
      <c r="F446" s="212" t="str">
        <f t="shared" si="47"/>
        <v>3 - Stationary Combustion</v>
      </c>
      <c r="G446" s="248" t="s">
        <v>307</v>
      </c>
      <c r="H446" s="212" t="s">
        <v>322</v>
      </c>
      <c r="I446" s="212"/>
      <c r="J446" s="212" t="s">
        <v>308</v>
      </c>
      <c r="K446" s="212" t="s">
        <v>196</v>
      </c>
      <c r="L446" s="212" t="s">
        <v>322</v>
      </c>
      <c r="M446" s="215" t="s">
        <v>526</v>
      </c>
      <c r="N446" s="289"/>
      <c r="O446" s="289"/>
      <c r="P446" s="289"/>
      <c r="Q446" s="289"/>
      <c r="R446" s="289"/>
      <c r="S446" s="232">
        <v>5.8880000000000002E-2</v>
      </c>
      <c r="T446" s="388">
        <v>5.9130000000000002E-2</v>
      </c>
      <c r="U446" s="212" t="s">
        <v>204</v>
      </c>
      <c r="V446" s="212" t="s">
        <v>507</v>
      </c>
      <c r="W446" s="218" t="s">
        <v>1256</v>
      </c>
      <c r="X446" s="73"/>
      <c r="Y446" s="389"/>
      <c r="Z446" s="67"/>
      <c r="AA446" s="67"/>
      <c r="AB446" s="67"/>
      <c r="AC446" s="67"/>
    </row>
    <row r="447" spans="2:29" ht="14.25" customHeight="1">
      <c r="B447" s="166"/>
      <c r="C447" s="173"/>
      <c r="D447" s="212">
        <v>3</v>
      </c>
      <c r="E447" s="212" t="s">
        <v>306</v>
      </c>
      <c r="F447" s="212" t="str">
        <f t="shared" si="47"/>
        <v>3 - Stationary Combustion</v>
      </c>
      <c r="G447" s="248" t="s">
        <v>307</v>
      </c>
      <c r="H447" s="212" t="s">
        <v>322</v>
      </c>
      <c r="I447" s="212"/>
      <c r="J447" s="212" t="s">
        <v>308</v>
      </c>
      <c r="K447" s="212" t="s">
        <v>311</v>
      </c>
      <c r="L447" s="212" t="s">
        <v>322</v>
      </c>
      <c r="M447" s="215" t="s">
        <v>527</v>
      </c>
      <c r="N447" s="289"/>
      <c r="O447" s="289"/>
      <c r="P447" s="289"/>
      <c r="Q447" s="289"/>
      <c r="R447" s="289"/>
      <c r="S447" s="232">
        <v>5.1299999999999998E-2</v>
      </c>
      <c r="T447" s="388">
        <v>5.1529999999999999E-2</v>
      </c>
      <c r="U447" s="212" t="s">
        <v>204</v>
      </c>
      <c r="V447" s="212" t="s">
        <v>509</v>
      </c>
      <c r="W447" s="218" t="s">
        <v>1257</v>
      </c>
      <c r="X447" s="73"/>
      <c r="Y447" s="389"/>
      <c r="Z447" s="67"/>
      <c r="AA447" s="67"/>
      <c r="AB447" s="67"/>
      <c r="AC447" s="67"/>
    </row>
    <row r="448" spans="2:29" ht="14.25" customHeight="1">
      <c r="B448" s="166"/>
      <c r="C448" s="173"/>
      <c r="D448" s="212">
        <v>3</v>
      </c>
      <c r="E448" s="212" t="s">
        <v>306</v>
      </c>
      <c r="F448" s="212" t="str">
        <f t="shared" si="47"/>
        <v>3 - Stationary Combustion</v>
      </c>
      <c r="G448" s="248" t="s">
        <v>307</v>
      </c>
      <c r="H448" s="212" t="s">
        <v>323</v>
      </c>
      <c r="I448" s="212"/>
      <c r="J448" s="212" t="s">
        <v>308</v>
      </c>
      <c r="K448" s="212" t="s">
        <v>191</v>
      </c>
      <c r="L448" s="212" t="s">
        <v>323</v>
      </c>
      <c r="M448" s="215" t="s">
        <v>528</v>
      </c>
      <c r="N448" s="289"/>
      <c r="O448" s="289"/>
      <c r="P448" s="289"/>
      <c r="Q448" s="289"/>
      <c r="R448" s="289"/>
      <c r="S448" s="232">
        <v>5.8880000000000002E-2</v>
      </c>
      <c r="T448" s="388">
        <v>5.9130000000000002E-2</v>
      </c>
      <c r="U448" s="212" t="s">
        <v>204</v>
      </c>
      <c r="V448" s="212" t="s">
        <v>505</v>
      </c>
      <c r="W448" s="218" t="s">
        <v>1255</v>
      </c>
      <c r="X448" s="73"/>
      <c r="Y448" s="389"/>
      <c r="Z448" s="67"/>
      <c r="AA448" s="67"/>
      <c r="AB448" s="67"/>
      <c r="AC448" s="67"/>
    </row>
    <row r="449" spans="2:29" ht="14.25" customHeight="1">
      <c r="B449" s="166"/>
      <c r="C449" s="173"/>
      <c r="D449" s="212">
        <v>3</v>
      </c>
      <c r="E449" s="212" t="s">
        <v>306</v>
      </c>
      <c r="F449" s="212" t="str">
        <f t="shared" si="47"/>
        <v>3 - Stationary Combustion</v>
      </c>
      <c r="G449" s="248" t="s">
        <v>307</v>
      </c>
      <c r="H449" s="212" t="s">
        <v>323</v>
      </c>
      <c r="I449" s="212"/>
      <c r="J449" s="212" t="s">
        <v>308</v>
      </c>
      <c r="K449" s="212" t="s">
        <v>311</v>
      </c>
      <c r="L449" s="212" t="s">
        <v>323</v>
      </c>
      <c r="M449" s="215" t="s">
        <v>529</v>
      </c>
      <c r="N449" s="289"/>
      <c r="O449" s="289"/>
      <c r="P449" s="289"/>
      <c r="Q449" s="289"/>
      <c r="R449" s="289"/>
      <c r="S449" s="232">
        <v>5.1299999999999998E-2</v>
      </c>
      <c r="T449" s="388">
        <v>5.1529999999999999E-2</v>
      </c>
      <c r="U449" s="212" t="s">
        <v>204</v>
      </c>
      <c r="V449" s="212" t="s">
        <v>509</v>
      </c>
      <c r="W449" s="218" t="s">
        <v>1257</v>
      </c>
      <c r="X449" s="73"/>
      <c r="Y449" s="389"/>
      <c r="Z449" s="67"/>
      <c r="AA449" s="67"/>
      <c r="AB449" s="67"/>
      <c r="AC449" s="67"/>
    </row>
    <row r="450" spans="2:29" ht="14.25" customHeight="1">
      <c r="B450" s="166"/>
      <c r="C450" s="173"/>
      <c r="D450" s="212">
        <v>3</v>
      </c>
      <c r="E450" s="212" t="s">
        <v>306</v>
      </c>
      <c r="F450" s="212" t="str">
        <f t="shared" si="47"/>
        <v>3 - Stationary Combustion</v>
      </c>
      <c r="G450" s="248" t="s">
        <v>307</v>
      </c>
      <c r="H450" s="212" t="s">
        <v>324</v>
      </c>
      <c r="I450" s="212"/>
      <c r="J450" s="212" t="s">
        <v>308</v>
      </c>
      <c r="K450" s="212" t="s">
        <v>191</v>
      </c>
      <c r="L450" s="212" t="s">
        <v>324</v>
      </c>
      <c r="M450" s="215" t="s">
        <v>530</v>
      </c>
      <c r="N450" s="289"/>
      <c r="O450" s="289"/>
      <c r="P450" s="289"/>
      <c r="Q450" s="289"/>
      <c r="R450" s="289"/>
      <c r="S450" s="232">
        <v>5.8880000000000002E-2</v>
      </c>
      <c r="T450" s="388">
        <v>5.9130000000000002E-2</v>
      </c>
      <c r="U450" s="212" t="s">
        <v>204</v>
      </c>
      <c r="V450" s="212" t="s">
        <v>505</v>
      </c>
      <c r="W450" s="218" t="s">
        <v>1255</v>
      </c>
      <c r="X450" s="73"/>
      <c r="Y450" s="389"/>
      <c r="Z450" s="67"/>
      <c r="AA450" s="67"/>
      <c r="AB450" s="67"/>
      <c r="AC450" s="67"/>
    </row>
    <row r="451" spans="2:29" ht="14.25" customHeight="1">
      <c r="B451" s="166"/>
      <c r="C451" s="173"/>
      <c r="D451" s="212">
        <v>3</v>
      </c>
      <c r="E451" s="212" t="s">
        <v>306</v>
      </c>
      <c r="F451" s="212" t="str">
        <f t="shared" si="47"/>
        <v>3 - Stationary Combustion</v>
      </c>
      <c r="G451" s="248" t="s">
        <v>307</v>
      </c>
      <c r="H451" s="212" t="s">
        <v>324</v>
      </c>
      <c r="I451" s="212"/>
      <c r="J451" s="212" t="s">
        <v>308</v>
      </c>
      <c r="K451" s="212" t="s">
        <v>311</v>
      </c>
      <c r="L451" s="212" t="s">
        <v>324</v>
      </c>
      <c r="M451" s="215" t="s">
        <v>531</v>
      </c>
      <c r="N451" s="289"/>
      <c r="O451" s="289"/>
      <c r="P451" s="289"/>
      <c r="Q451" s="289"/>
      <c r="R451" s="289"/>
      <c r="S451" s="232">
        <v>5.1299999999999998E-2</v>
      </c>
      <c r="T451" s="388">
        <v>5.1529999999999999E-2</v>
      </c>
      <c r="U451" s="212" t="s">
        <v>204</v>
      </c>
      <c r="V451" s="212" t="s">
        <v>509</v>
      </c>
      <c r="W451" s="218" t="s">
        <v>1257</v>
      </c>
      <c r="X451" s="73"/>
      <c r="Y451" s="389"/>
      <c r="Z451" s="67"/>
      <c r="AA451" s="67"/>
      <c r="AB451" s="67"/>
      <c r="AC451" s="67"/>
    </row>
    <row r="452" spans="2:29" ht="14.25" customHeight="1">
      <c r="B452" s="166"/>
      <c r="C452" s="173"/>
      <c r="D452" s="212">
        <v>3</v>
      </c>
      <c r="E452" s="212" t="s">
        <v>306</v>
      </c>
      <c r="F452" s="212" t="str">
        <f t="shared" si="47"/>
        <v>3 - Stationary Combustion</v>
      </c>
      <c r="G452" s="248" t="s">
        <v>307</v>
      </c>
      <c r="H452" s="212" t="s">
        <v>325</v>
      </c>
      <c r="I452" s="212"/>
      <c r="J452" s="212" t="s">
        <v>308</v>
      </c>
      <c r="K452" s="212" t="s">
        <v>191</v>
      </c>
      <c r="L452" s="212" t="s">
        <v>325</v>
      </c>
      <c r="M452" s="215" t="s">
        <v>532</v>
      </c>
      <c r="N452" s="289"/>
      <c r="O452" s="289"/>
      <c r="P452" s="289"/>
      <c r="Q452" s="289"/>
      <c r="R452" s="289"/>
      <c r="S452" s="232">
        <v>5.8880000000000002E-2</v>
      </c>
      <c r="T452" s="388">
        <v>5.9130000000000002E-2</v>
      </c>
      <c r="U452" s="212" t="s">
        <v>204</v>
      </c>
      <c r="V452" s="212" t="s">
        <v>505</v>
      </c>
      <c r="W452" s="218" t="s">
        <v>1255</v>
      </c>
      <c r="X452" s="73"/>
      <c r="Y452" s="389"/>
      <c r="Z452" s="67"/>
      <c r="AA452" s="67"/>
      <c r="AB452" s="67"/>
      <c r="AC452" s="67"/>
    </row>
    <row r="453" spans="2:29" ht="14.25" customHeight="1">
      <c r="B453" s="166"/>
      <c r="C453" s="173"/>
      <c r="D453" s="212">
        <v>3</v>
      </c>
      <c r="E453" s="212" t="s">
        <v>306</v>
      </c>
      <c r="F453" s="212" t="str">
        <f t="shared" si="47"/>
        <v>3 - Stationary Combustion</v>
      </c>
      <c r="G453" s="248" t="s">
        <v>307</v>
      </c>
      <c r="H453" s="212" t="s">
        <v>325</v>
      </c>
      <c r="I453" s="212"/>
      <c r="J453" s="212" t="s">
        <v>308</v>
      </c>
      <c r="K453" s="212" t="s">
        <v>311</v>
      </c>
      <c r="L453" s="212" t="s">
        <v>325</v>
      </c>
      <c r="M453" s="215" t="s">
        <v>533</v>
      </c>
      <c r="N453" s="289"/>
      <c r="O453" s="289"/>
      <c r="P453" s="289"/>
      <c r="Q453" s="289"/>
      <c r="R453" s="289"/>
      <c r="S453" s="232">
        <v>5.1299999999999998E-2</v>
      </c>
      <c r="T453" s="388">
        <v>5.1529999999999999E-2</v>
      </c>
      <c r="U453" s="212" t="s">
        <v>204</v>
      </c>
      <c r="V453" s="212" t="s">
        <v>509</v>
      </c>
      <c r="W453" s="218" t="s">
        <v>1257</v>
      </c>
      <c r="X453" s="73"/>
      <c r="Y453" s="389"/>
      <c r="Z453" s="67"/>
      <c r="AA453" s="67"/>
      <c r="AB453" s="67"/>
      <c r="AC453" s="67"/>
    </row>
    <row r="454" spans="2:29" ht="14.25" customHeight="1">
      <c r="B454" s="166"/>
      <c r="C454" s="173"/>
      <c r="D454" s="212">
        <v>3</v>
      </c>
      <c r="E454" s="212" t="s">
        <v>306</v>
      </c>
      <c r="F454" s="212" t="str">
        <f t="shared" si="47"/>
        <v>3 - Stationary Combustion</v>
      </c>
      <c r="G454" s="248" t="s">
        <v>307</v>
      </c>
      <c r="H454" s="212" t="s">
        <v>326</v>
      </c>
      <c r="I454" s="212" t="s">
        <v>327</v>
      </c>
      <c r="J454" s="212" t="s">
        <v>308</v>
      </c>
      <c r="K454" s="212" t="s">
        <v>312</v>
      </c>
      <c r="L454" s="212" t="s">
        <v>320</v>
      </c>
      <c r="M454" s="215" t="s">
        <v>534</v>
      </c>
      <c r="N454" s="289"/>
      <c r="O454" s="289"/>
      <c r="P454" s="289"/>
      <c r="Q454" s="289"/>
      <c r="R454" s="289"/>
      <c r="S454" s="232">
        <v>2.5319999999999999E-2</v>
      </c>
      <c r="T454" s="388">
        <v>2.7359999999999999E-2</v>
      </c>
      <c r="U454" s="212" t="s">
        <v>204</v>
      </c>
      <c r="V454" s="212" t="s">
        <v>511</v>
      </c>
      <c r="W454" s="218" t="s">
        <v>1258</v>
      </c>
      <c r="X454" s="73"/>
      <c r="Y454" s="389"/>
      <c r="Z454" s="67"/>
      <c r="AA454" s="67"/>
      <c r="AB454" s="67"/>
      <c r="AC454" s="67"/>
    </row>
    <row r="455" spans="2:29" ht="14.25" customHeight="1">
      <c r="B455" s="166"/>
      <c r="C455" s="173"/>
      <c r="D455" s="212">
        <v>3</v>
      </c>
      <c r="E455" s="212" t="s">
        <v>306</v>
      </c>
      <c r="F455" s="212" t="str">
        <f t="shared" si="47"/>
        <v>3 - Stationary Combustion</v>
      </c>
      <c r="G455" s="248" t="s">
        <v>307</v>
      </c>
      <c r="H455" s="212" t="s">
        <v>328</v>
      </c>
      <c r="I455" s="212" t="s">
        <v>329</v>
      </c>
      <c r="J455" s="212" t="s">
        <v>308</v>
      </c>
      <c r="K455" s="212" t="s">
        <v>312</v>
      </c>
      <c r="L455" s="212" t="s">
        <v>323</v>
      </c>
      <c r="M455" s="215" t="s">
        <v>535</v>
      </c>
      <c r="N455" s="289"/>
      <c r="O455" s="289"/>
      <c r="P455" s="289"/>
      <c r="Q455" s="289"/>
      <c r="R455" s="289"/>
      <c r="S455" s="232">
        <v>2.5319999999999999E-2</v>
      </c>
      <c r="T455" s="388">
        <v>2.7359999999999999E-2</v>
      </c>
      <c r="U455" s="212" t="s">
        <v>204</v>
      </c>
      <c r="V455" s="212" t="s">
        <v>511</v>
      </c>
      <c r="W455" s="218" t="s">
        <v>1258</v>
      </c>
      <c r="X455" s="73"/>
      <c r="Y455" s="389"/>
      <c r="Z455" s="67"/>
      <c r="AA455" s="67"/>
      <c r="AB455" s="67"/>
      <c r="AC455" s="67"/>
    </row>
    <row r="456" spans="2:29" ht="14.25" customHeight="1">
      <c r="B456" s="166"/>
      <c r="C456" s="173"/>
      <c r="D456" s="212">
        <v>3</v>
      </c>
      <c r="E456" s="212" t="s">
        <v>306</v>
      </c>
      <c r="F456" s="212" t="str">
        <f t="shared" si="47"/>
        <v>3 - Stationary Combustion</v>
      </c>
      <c r="G456" s="248" t="s">
        <v>307</v>
      </c>
      <c r="H456" s="212" t="s">
        <v>330</v>
      </c>
      <c r="I456" s="212" t="s">
        <v>330</v>
      </c>
      <c r="J456" s="212" t="s">
        <v>308</v>
      </c>
      <c r="K456" s="212" t="s">
        <v>312</v>
      </c>
      <c r="L456" s="212" t="s">
        <v>324</v>
      </c>
      <c r="M456" s="215" t="s">
        <v>536</v>
      </c>
      <c r="N456" s="289"/>
      <c r="O456" s="289"/>
      <c r="P456" s="289"/>
      <c r="Q456" s="289"/>
      <c r="R456" s="289"/>
      <c r="S456" s="232">
        <v>2.5319999999999999E-2</v>
      </c>
      <c r="T456" s="388">
        <v>2.7359999999999999E-2</v>
      </c>
      <c r="U456" s="212" t="s">
        <v>204</v>
      </c>
      <c r="V456" s="212" t="s">
        <v>511</v>
      </c>
      <c r="W456" s="218" t="s">
        <v>1258</v>
      </c>
      <c r="X456" s="73"/>
      <c r="Y456" s="389"/>
      <c r="Z456" s="67"/>
      <c r="AA456" s="67"/>
      <c r="AB456" s="67"/>
      <c r="AC456" s="67"/>
    </row>
    <row r="457" spans="2:29" ht="14.25" customHeight="1">
      <c r="B457" s="166"/>
      <c r="C457" s="173"/>
      <c r="D457" s="212">
        <v>3</v>
      </c>
      <c r="E457" s="212" t="s">
        <v>306</v>
      </c>
      <c r="F457" s="212" t="str">
        <f t="shared" si="47"/>
        <v>3 - Stationary Combustion</v>
      </c>
      <c r="G457" s="248" t="s">
        <v>307</v>
      </c>
      <c r="H457" s="212" t="s">
        <v>331</v>
      </c>
      <c r="I457" s="212" t="s">
        <v>332</v>
      </c>
      <c r="J457" s="212" t="s">
        <v>308</v>
      </c>
      <c r="K457" s="212" t="s">
        <v>312</v>
      </c>
      <c r="L457" s="212" t="s">
        <v>325</v>
      </c>
      <c r="M457" s="215" t="s">
        <v>537</v>
      </c>
      <c r="N457" s="289"/>
      <c r="O457" s="289"/>
      <c r="P457" s="289"/>
      <c r="Q457" s="289"/>
      <c r="R457" s="289"/>
      <c r="S457" s="232">
        <v>2.5319999999999999E-2</v>
      </c>
      <c r="T457" s="388">
        <v>2.7359999999999999E-2</v>
      </c>
      <c r="U457" s="212" t="s">
        <v>204</v>
      </c>
      <c r="V457" s="212" t="s">
        <v>511</v>
      </c>
      <c r="W457" s="218" t="s">
        <v>1258</v>
      </c>
      <c r="X457" s="73"/>
      <c r="Y457" s="389"/>
      <c r="Z457" s="67"/>
      <c r="AA457" s="67"/>
      <c r="AB457" s="67"/>
      <c r="AC457" s="67"/>
    </row>
    <row r="458" spans="2:29" ht="14.25" customHeight="1">
      <c r="B458" s="166"/>
      <c r="C458" s="173"/>
      <c r="D458" s="212">
        <v>3</v>
      </c>
      <c r="E458" s="212" t="s">
        <v>306</v>
      </c>
      <c r="F458" s="212" t="str">
        <f t="shared" si="47"/>
        <v>3 - Stationary Combustion</v>
      </c>
      <c r="G458" s="248" t="s">
        <v>307</v>
      </c>
      <c r="H458" s="212" t="s">
        <v>333</v>
      </c>
      <c r="I458" s="212" t="s">
        <v>333</v>
      </c>
      <c r="J458" s="212" t="s">
        <v>308</v>
      </c>
      <c r="K458" s="212" t="s">
        <v>312</v>
      </c>
      <c r="L458" s="212" t="s">
        <v>322</v>
      </c>
      <c r="M458" s="215" t="s">
        <v>538</v>
      </c>
      <c r="N458" s="289"/>
      <c r="O458" s="289"/>
      <c r="P458" s="289"/>
      <c r="Q458" s="289"/>
      <c r="R458" s="289"/>
      <c r="S458" s="232">
        <v>2.5319999999999999E-2</v>
      </c>
      <c r="T458" s="388">
        <v>2.7359999999999999E-2</v>
      </c>
      <c r="U458" s="212" t="s">
        <v>204</v>
      </c>
      <c r="V458" s="212" t="s">
        <v>511</v>
      </c>
      <c r="W458" s="218" t="s">
        <v>1258</v>
      </c>
      <c r="X458" s="73"/>
      <c r="Y458" s="389"/>
      <c r="Z458" s="67"/>
      <c r="AA458" s="67"/>
      <c r="AB458" s="67"/>
      <c r="AC458" s="67"/>
    </row>
    <row r="459" spans="2:29" ht="14.25" customHeight="1">
      <c r="B459" s="166"/>
      <c r="C459" s="173"/>
      <c r="D459" s="212">
        <v>3</v>
      </c>
      <c r="E459" s="212" t="s">
        <v>306</v>
      </c>
      <c r="F459" s="212" t="str">
        <f t="shared" si="47"/>
        <v>3 - Stationary Combustion</v>
      </c>
      <c r="G459" s="248" t="s">
        <v>307</v>
      </c>
      <c r="H459" s="212" t="s">
        <v>326</v>
      </c>
      <c r="I459" s="212" t="s">
        <v>327</v>
      </c>
      <c r="J459" s="212" t="s">
        <v>308</v>
      </c>
      <c r="K459" s="212" t="s">
        <v>313</v>
      </c>
      <c r="L459" s="212" t="s">
        <v>320</v>
      </c>
      <c r="M459" s="215" t="s">
        <v>539</v>
      </c>
      <c r="N459" s="289"/>
      <c r="O459" s="289"/>
      <c r="P459" s="289"/>
      <c r="Q459" s="289"/>
      <c r="R459" s="289"/>
      <c r="S459" s="232">
        <v>2.8410000000000001E-2</v>
      </c>
      <c r="T459" s="388">
        <v>2.8410000000000001E-2</v>
      </c>
      <c r="U459" s="212" t="s">
        <v>204</v>
      </c>
      <c r="V459" s="212" t="s">
        <v>513</v>
      </c>
      <c r="W459" s="218" t="s">
        <v>1189</v>
      </c>
      <c r="X459" s="73"/>
      <c r="Y459" s="389"/>
      <c r="Z459" s="67"/>
      <c r="AA459" s="67"/>
      <c r="AB459" s="67"/>
      <c r="AC459" s="67"/>
    </row>
    <row r="460" spans="2:29" ht="14.25" customHeight="1">
      <c r="B460" s="166"/>
      <c r="C460" s="173"/>
      <c r="D460" s="212">
        <v>3</v>
      </c>
      <c r="E460" s="212" t="s">
        <v>306</v>
      </c>
      <c r="F460" s="212" t="str">
        <f t="shared" si="47"/>
        <v>3 - Stationary Combustion</v>
      </c>
      <c r="G460" s="248" t="s">
        <v>307</v>
      </c>
      <c r="H460" s="212" t="s">
        <v>328</v>
      </c>
      <c r="I460" s="212" t="s">
        <v>329</v>
      </c>
      <c r="J460" s="212" t="s">
        <v>308</v>
      </c>
      <c r="K460" s="212" t="s">
        <v>313</v>
      </c>
      <c r="L460" s="212" t="s">
        <v>323</v>
      </c>
      <c r="M460" s="215" t="s">
        <v>540</v>
      </c>
      <c r="N460" s="289"/>
      <c r="O460" s="289"/>
      <c r="P460" s="289"/>
      <c r="Q460" s="289"/>
      <c r="R460" s="289"/>
      <c r="S460" s="232">
        <v>2.8410000000000001E-2</v>
      </c>
      <c r="T460" s="388">
        <v>2.8410000000000001E-2</v>
      </c>
      <c r="U460" s="212" t="s">
        <v>204</v>
      </c>
      <c r="V460" s="212" t="s">
        <v>513</v>
      </c>
      <c r="W460" s="218" t="s">
        <v>1189</v>
      </c>
      <c r="X460" s="73"/>
      <c r="Y460" s="389"/>
      <c r="Z460" s="67"/>
      <c r="AA460" s="67"/>
      <c r="AB460" s="67"/>
      <c r="AC460" s="67"/>
    </row>
    <row r="461" spans="2:29" ht="14.25" customHeight="1">
      <c r="B461" s="166"/>
      <c r="C461" s="173"/>
      <c r="D461" s="212">
        <v>3</v>
      </c>
      <c r="E461" s="212" t="s">
        <v>306</v>
      </c>
      <c r="F461" s="212" t="str">
        <f t="shared" si="47"/>
        <v>3 - Stationary Combustion</v>
      </c>
      <c r="G461" s="248" t="s">
        <v>307</v>
      </c>
      <c r="H461" s="212" t="s">
        <v>330</v>
      </c>
      <c r="I461" s="212" t="s">
        <v>330</v>
      </c>
      <c r="J461" s="212" t="s">
        <v>308</v>
      </c>
      <c r="K461" s="212" t="s">
        <v>313</v>
      </c>
      <c r="L461" s="212" t="s">
        <v>324</v>
      </c>
      <c r="M461" s="215" t="s">
        <v>541</v>
      </c>
      <c r="N461" s="289"/>
      <c r="O461" s="289"/>
      <c r="P461" s="289"/>
      <c r="Q461" s="289"/>
      <c r="R461" s="289"/>
      <c r="S461" s="232">
        <v>2.8410000000000001E-2</v>
      </c>
      <c r="T461" s="388">
        <v>2.8410000000000001E-2</v>
      </c>
      <c r="U461" s="212" t="s">
        <v>204</v>
      </c>
      <c r="V461" s="212" t="s">
        <v>513</v>
      </c>
      <c r="W461" s="218" t="s">
        <v>1189</v>
      </c>
      <c r="X461" s="73"/>
      <c r="Y461" s="389"/>
      <c r="Z461" s="67"/>
      <c r="AA461" s="67"/>
      <c r="AB461" s="67"/>
      <c r="AC461" s="67"/>
    </row>
    <row r="462" spans="2:29" ht="14.25" customHeight="1">
      <c r="B462" s="166"/>
      <c r="C462" s="173"/>
      <c r="D462" s="212">
        <v>3</v>
      </c>
      <c r="E462" s="212" t="s">
        <v>306</v>
      </c>
      <c r="F462" s="212" t="str">
        <f t="shared" si="47"/>
        <v>3 - Stationary Combustion</v>
      </c>
      <c r="G462" s="248" t="s">
        <v>307</v>
      </c>
      <c r="H462" s="212" t="s">
        <v>331</v>
      </c>
      <c r="I462" s="212" t="s">
        <v>332</v>
      </c>
      <c r="J462" s="212" t="s">
        <v>308</v>
      </c>
      <c r="K462" s="212" t="s">
        <v>313</v>
      </c>
      <c r="L462" s="212" t="s">
        <v>325</v>
      </c>
      <c r="M462" s="215" t="s">
        <v>542</v>
      </c>
      <c r="N462" s="289"/>
      <c r="O462" s="289"/>
      <c r="P462" s="289"/>
      <c r="Q462" s="289"/>
      <c r="R462" s="289"/>
      <c r="S462" s="232">
        <v>2.8410000000000001E-2</v>
      </c>
      <c r="T462" s="388">
        <v>2.8410000000000001E-2</v>
      </c>
      <c r="U462" s="212" t="s">
        <v>204</v>
      </c>
      <c r="V462" s="212" t="s">
        <v>513</v>
      </c>
      <c r="W462" s="218" t="s">
        <v>1189</v>
      </c>
      <c r="X462" s="73"/>
      <c r="Y462" s="389"/>
      <c r="Z462" s="67"/>
      <c r="AA462" s="67"/>
      <c r="AB462" s="67"/>
      <c r="AC462" s="67"/>
    </row>
    <row r="463" spans="2:29" ht="14.25" customHeight="1">
      <c r="B463" s="166"/>
      <c r="C463" s="173"/>
      <c r="D463" s="212">
        <v>3</v>
      </c>
      <c r="E463" s="212" t="s">
        <v>306</v>
      </c>
      <c r="F463" s="212" t="str">
        <f t="shared" si="47"/>
        <v>3 - Stationary Combustion</v>
      </c>
      <c r="G463" s="248" t="s">
        <v>307</v>
      </c>
      <c r="H463" s="212" t="s">
        <v>333</v>
      </c>
      <c r="I463" s="212" t="s">
        <v>333</v>
      </c>
      <c r="J463" s="212" t="s">
        <v>308</v>
      </c>
      <c r="K463" s="212" t="s">
        <v>313</v>
      </c>
      <c r="L463" s="212" t="s">
        <v>322</v>
      </c>
      <c r="M463" s="215" t="s">
        <v>543</v>
      </c>
      <c r="N463" s="289"/>
      <c r="O463" s="289"/>
      <c r="P463" s="289"/>
      <c r="Q463" s="289"/>
      <c r="R463" s="289"/>
      <c r="S463" s="232">
        <v>2.8410000000000001E-2</v>
      </c>
      <c r="T463" s="388">
        <v>2.8410000000000001E-2</v>
      </c>
      <c r="U463" s="212" t="s">
        <v>204</v>
      </c>
      <c r="V463" s="212" t="s">
        <v>513</v>
      </c>
      <c r="W463" s="218" t="s">
        <v>1189</v>
      </c>
      <c r="X463" s="73"/>
      <c r="Y463" s="389"/>
      <c r="Z463" s="67"/>
      <c r="AA463" s="67"/>
      <c r="AB463" s="67"/>
      <c r="AC463" s="67"/>
    </row>
    <row r="464" spans="2:29" ht="14.25" customHeight="1">
      <c r="B464" s="166"/>
      <c r="C464" s="173"/>
      <c r="D464" s="212">
        <v>3</v>
      </c>
      <c r="E464" s="212" t="s">
        <v>306</v>
      </c>
      <c r="F464" s="212" t="str">
        <f t="shared" si="47"/>
        <v>3 - Stationary Combustion</v>
      </c>
      <c r="G464" s="248" t="s">
        <v>307</v>
      </c>
      <c r="H464" s="212" t="s">
        <v>326</v>
      </c>
      <c r="I464" s="212" t="s">
        <v>327</v>
      </c>
      <c r="J464" s="212" t="s">
        <v>308</v>
      </c>
      <c r="K464" s="212" t="s">
        <v>314</v>
      </c>
      <c r="L464" s="212" t="s">
        <v>320</v>
      </c>
      <c r="M464" s="215" t="s">
        <v>544</v>
      </c>
      <c r="N464" s="289"/>
      <c r="O464" s="289"/>
      <c r="P464" s="289"/>
      <c r="Q464" s="289"/>
      <c r="R464" s="289"/>
      <c r="S464" s="232">
        <v>3.7440000000000001E-2</v>
      </c>
      <c r="T464" s="388">
        <v>3.7440000000000001E-2</v>
      </c>
      <c r="U464" s="212" t="s">
        <v>204</v>
      </c>
      <c r="V464" s="212" t="str">
        <f t="shared" ref="V464:V468" si="48">K464</f>
        <v>Wood Pellets</v>
      </c>
      <c r="W464" s="218" t="s">
        <v>1190</v>
      </c>
      <c r="X464" s="73"/>
      <c r="Y464" s="389"/>
      <c r="Z464" s="67"/>
      <c r="AA464" s="67"/>
      <c r="AB464" s="67"/>
      <c r="AC464" s="67"/>
    </row>
    <row r="465" spans="2:29" ht="14.25" customHeight="1">
      <c r="B465" s="166"/>
      <c r="C465" s="173"/>
      <c r="D465" s="212">
        <v>3</v>
      </c>
      <c r="E465" s="212" t="s">
        <v>306</v>
      </c>
      <c r="F465" s="212" t="str">
        <f t="shared" si="47"/>
        <v>3 - Stationary Combustion</v>
      </c>
      <c r="G465" s="248" t="s">
        <v>307</v>
      </c>
      <c r="H465" s="212" t="s">
        <v>328</v>
      </c>
      <c r="I465" s="212" t="s">
        <v>329</v>
      </c>
      <c r="J465" s="212" t="s">
        <v>308</v>
      </c>
      <c r="K465" s="212" t="s">
        <v>314</v>
      </c>
      <c r="L465" s="212" t="s">
        <v>323</v>
      </c>
      <c r="M465" s="215" t="s">
        <v>545</v>
      </c>
      <c r="N465" s="289"/>
      <c r="O465" s="289"/>
      <c r="P465" s="289"/>
      <c r="Q465" s="289"/>
      <c r="R465" s="289"/>
      <c r="S465" s="232">
        <v>3.7440000000000001E-2</v>
      </c>
      <c r="T465" s="388">
        <v>3.7440000000000001E-2</v>
      </c>
      <c r="U465" s="212" t="s">
        <v>204</v>
      </c>
      <c r="V465" s="212" t="str">
        <f t="shared" si="48"/>
        <v>Wood Pellets</v>
      </c>
      <c r="W465" s="218" t="s">
        <v>1190</v>
      </c>
      <c r="X465" s="73"/>
      <c r="Y465" s="389"/>
      <c r="Z465" s="67"/>
      <c r="AA465" s="67"/>
      <c r="AB465" s="67"/>
      <c r="AC465" s="67"/>
    </row>
    <row r="466" spans="2:29" ht="14.25" customHeight="1">
      <c r="B466" s="166"/>
      <c r="C466" s="173"/>
      <c r="D466" s="212">
        <v>3</v>
      </c>
      <c r="E466" s="212" t="s">
        <v>306</v>
      </c>
      <c r="F466" s="212" t="str">
        <f t="shared" si="47"/>
        <v>3 - Stationary Combustion</v>
      </c>
      <c r="G466" s="248" t="s">
        <v>307</v>
      </c>
      <c r="H466" s="212" t="s">
        <v>330</v>
      </c>
      <c r="I466" s="212" t="s">
        <v>330</v>
      </c>
      <c r="J466" s="212" t="s">
        <v>308</v>
      </c>
      <c r="K466" s="212" t="s">
        <v>314</v>
      </c>
      <c r="L466" s="212" t="s">
        <v>324</v>
      </c>
      <c r="M466" s="215" t="s">
        <v>546</v>
      </c>
      <c r="N466" s="289"/>
      <c r="O466" s="289"/>
      <c r="P466" s="289"/>
      <c r="Q466" s="289"/>
      <c r="R466" s="289"/>
      <c r="S466" s="232">
        <v>3.7440000000000001E-2</v>
      </c>
      <c r="T466" s="388">
        <v>3.7440000000000001E-2</v>
      </c>
      <c r="U466" s="212" t="s">
        <v>204</v>
      </c>
      <c r="V466" s="212" t="str">
        <f t="shared" si="48"/>
        <v>Wood Pellets</v>
      </c>
      <c r="W466" s="218" t="s">
        <v>1190</v>
      </c>
      <c r="X466" s="73"/>
      <c r="Y466" s="389"/>
      <c r="Z466" s="67"/>
      <c r="AA466" s="67"/>
      <c r="AB466" s="67"/>
      <c r="AC466" s="67"/>
    </row>
    <row r="467" spans="2:29" ht="14.25" customHeight="1">
      <c r="B467" s="166"/>
      <c r="C467" s="173"/>
      <c r="D467" s="212">
        <v>3</v>
      </c>
      <c r="E467" s="212" t="s">
        <v>306</v>
      </c>
      <c r="F467" s="212" t="str">
        <f t="shared" si="47"/>
        <v>3 - Stationary Combustion</v>
      </c>
      <c r="G467" s="248" t="s">
        <v>307</v>
      </c>
      <c r="H467" s="212" t="s">
        <v>331</v>
      </c>
      <c r="I467" s="212" t="s">
        <v>332</v>
      </c>
      <c r="J467" s="212" t="s">
        <v>308</v>
      </c>
      <c r="K467" s="212" t="s">
        <v>314</v>
      </c>
      <c r="L467" s="212" t="s">
        <v>325</v>
      </c>
      <c r="M467" s="215" t="s">
        <v>547</v>
      </c>
      <c r="N467" s="289"/>
      <c r="O467" s="289"/>
      <c r="P467" s="289"/>
      <c r="Q467" s="289"/>
      <c r="R467" s="289"/>
      <c r="S467" s="232">
        <v>3.7440000000000001E-2</v>
      </c>
      <c r="T467" s="388">
        <v>3.7440000000000001E-2</v>
      </c>
      <c r="U467" s="212" t="s">
        <v>204</v>
      </c>
      <c r="V467" s="212" t="str">
        <f t="shared" si="48"/>
        <v>Wood Pellets</v>
      </c>
      <c r="W467" s="218" t="s">
        <v>1190</v>
      </c>
      <c r="X467" s="73"/>
      <c r="Y467" s="389"/>
      <c r="Z467" s="67"/>
      <c r="AA467" s="67"/>
      <c r="AB467" s="67"/>
      <c r="AC467" s="67"/>
    </row>
    <row r="468" spans="2:29" ht="14.25" customHeight="1">
      <c r="B468" s="166"/>
      <c r="C468" s="173"/>
      <c r="D468" s="212">
        <v>3</v>
      </c>
      <c r="E468" s="212" t="s">
        <v>306</v>
      </c>
      <c r="F468" s="212" t="str">
        <f t="shared" si="47"/>
        <v>3 - Stationary Combustion</v>
      </c>
      <c r="G468" s="248" t="s">
        <v>307</v>
      </c>
      <c r="H468" s="212" t="s">
        <v>333</v>
      </c>
      <c r="I468" s="212" t="s">
        <v>333</v>
      </c>
      <c r="J468" s="212" t="s">
        <v>308</v>
      </c>
      <c r="K468" s="212" t="s">
        <v>314</v>
      </c>
      <c r="L468" s="212" t="s">
        <v>322</v>
      </c>
      <c r="M468" s="215" t="s">
        <v>548</v>
      </c>
      <c r="N468" s="289"/>
      <c r="O468" s="289"/>
      <c r="P468" s="289"/>
      <c r="Q468" s="289"/>
      <c r="R468" s="289"/>
      <c r="S468" s="232">
        <v>3.7440000000000001E-2</v>
      </c>
      <c r="T468" s="388">
        <v>3.7440000000000001E-2</v>
      </c>
      <c r="U468" s="212" t="s">
        <v>204</v>
      </c>
      <c r="V468" s="212" t="str">
        <f t="shared" si="48"/>
        <v>Wood Pellets</v>
      </c>
      <c r="W468" s="218" t="s">
        <v>1190</v>
      </c>
      <c r="X468" s="73"/>
      <c r="Y468" s="389"/>
      <c r="Z468" s="67"/>
      <c r="AA468" s="67"/>
      <c r="AB468" s="67"/>
      <c r="AC468" s="67"/>
    </row>
    <row r="469" spans="2:29" ht="14.25" customHeight="1">
      <c r="B469" s="166"/>
      <c r="C469" s="173"/>
      <c r="D469" s="212">
        <v>3</v>
      </c>
      <c r="E469" s="212" t="s">
        <v>306</v>
      </c>
      <c r="F469" s="212" t="str">
        <f t="shared" si="47"/>
        <v>3 - Stationary Combustion</v>
      </c>
      <c r="G469" s="248" t="s">
        <v>307</v>
      </c>
      <c r="H469" s="212"/>
      <c r="I469" s="212"/>
      <c r="J469" s="212" t="s">
        <v>308</v>
      </c>
      <c r="K469" s="212" t="s">
        <v>315</v>
      </c>
      <c r="L469" s="212"/>
      <c r="M469" s="215" t="s">
        <v>315</v>
      </c>
      <c r="N469" s="289"/>
      <c r="O469" s="289"/>
      <c r="P469" s="289"/>
      <c r="Q469" s="289"/>
      <c r="R469" s="289"/>
      <c r="S469" s="232">
        <v>2.503E-2</v>
      </c>
      <c r="T469" s="388">
        <v>2.5190000000000001E-2</v>
      </c>
      <c r="U469" s="212" t="s">
        <v>204</v>
      </c>
      <c r="V469" s="212" t="s">
        <v>516</v>
      </c>
      <c r="W469" s="218" t="s">
        <v>1259</v>
      </c>
      <c r="X469" s="73"/>
      <c r="Y469" s="389"/>
      <c r="Z469" s="67"/>
      <c r="AA469" s="67"/>
      <c r="AB469" s="67"/>
      <c r="AC469" s="67"/>
    </row>
    <row r="470" spans="2:29" ht="14.25" customHeight="1">
      <c r="B470" s="166"/>
      <c r="C470" s="173"/>
      <c r="D470" s="212">
        <v>3</v>
      </c>
      <c r="E470" s="212" t="s">
        <v>306</v>
      </c>
      <c r="F470" s="212" t="str">
        <f t="shared" si="47"/>
        <v>3 - Stationary Combustion</v>
      </c>
      <c r="G470" s="248" t="s">
        <v>307</v>
      </c>
      <c r="H470" s="212"/>
      <c r="I470" s="212"/>
      <c r="J470" s="212" t="s">
        <v>308</v>
      </c>
      <c r="K470" s="212" t="s">
        <v>315</v>
      </c>
      <c r="L470" s="212"/>
      <c r="M470" s="215" t="s">
        <v>315</v>
      </c>
      <c r="N470" s="289"/>
      <c r="O470" s="289"/>
      <c r="P470" s="289"/>
      <c r="Q470" s="289"/>
      <c r="R470" s="289"/>
      <c r="S470" s="232">
        <v>2.503E-2</v>
      </c>
      <c r="T470" s="388">
        <v>2.5190000000000001E-2</v>
      </c>
      <c r="U470" s="212" t="s">
        <v>204</v>
      </c>
      <c r="V470" s="212" t="s">
        <v>516</v>
      </c>
      <c r="W470" s="218" t="s">
        <v>1259</v>
      </c>
      <c r="X470" s="73"/>
      <c r="Y470" s="389"/>
      <c r="Z470" s="67"/>
      <c r="AA470" s="67"/>
      <c r="AB470" s="67"/>
      <c r="AC470" s="67"/>
    </row>
    <row r="471" spans="2:29" ht="14.25" customHeight="1">
      <c r="B471" s="166"/>
      <c r="C471" s="173"/>
      <c r="D471" s="212">
        <v>3</v>
      </c>
      <c r="E471" s="212" t="s">
        <v>306</v>
      </c>
      <c r="F471" s="212" t="str">
        <f t="shared" si="47"/>
        <v>3 - Stationary Combustion</v>
      </c>
      <c r="G471" s="248" t="s">
        <v>307</v>
      </c>
      <c r="H471" s="212"/>
      <c r="I471" s="212"/>
      <c r="J471" s="212" t="s">
        <v>308</v>
      </c>
      <c r="K471" s="212" t="s">
        <v>315</v>
      </c>
      <c r="L471" s="212"/>
      <c r="M471" s="215" t="s">
        <v>315</v>
      </c>
      <c r="N471" s="289"/>
      <c r="O471" s="289"/>
      <c r="P471" s="289"/>
      <c r="Q471" s="289"/>
      <c r="R471" s="289"/>
      <c r="S471" s="232">
        <v>2.503E-2</v>
      </c>
      <c r="T471" s="388">
        <v>2.5190000000000001E-2</v>
      </c>
      <c r="U471" s="212" t="s">
        <v>204</v>
      </c>
      <c r="V471" s="212" t="s">
        <v>516</v>
      </c>
      <c r="W471" s="218" t="s">
        <v>1259</v>
      </c>
      <c r="X471" s="73"/>
      <c r="Y471" s="389"/>
      <c r="Z471" s="67"/>
      <c r="AA471" s="67"/>
      <c r="AB471" s="67"/>
      <c r="AC471" s="67"/>
    </row>
    <row r="472" spans="2:29" ht="14.25" customHeight="1">
      <c r="B472" s="166"/>
      <c r="C472" s="173"/>
      <c r="D472" s="212">
        <v>3</v>
      </c>
      <c r="E472" s="212" t="s">
        <v>306</v>
      </c>
      <c r="F472" s="212" t="str">
        <f t="shared" si="47"/>
        <v>3 - Stationary Combustion</v>
      </c>
      <c r="G472" s="248" t="s">
        <v>307</v>
      </c>
      <c r="H472" s="212"/>
      <c r="I472" s="212"/>
      <c r="J472" s="212" t="s">
        <v>308</v>
      </c>
      <c r="K472" s="212" t="s">
        <v>315</v>
      </c>
      <c r="L472" s="212"/>
      <c r="M472" s="215" t="s">
        <v>315</v>
      </c>
      <c r="N472" s="289"/>
      <c r="O472" s="289"/>
      <c r="P472" s="289"/>
      <c r="Q472" s="289"/>
      <c r="R472" s="289"/>
      <c r="S472" s="232">
        <v>2.503E-2</v>
      </c>
      <c r="T472" s="388">
        <v>2.5190000000000001E-2</v>
      </c>
      <c r="U472" s="212" t="s">
        <v>204</v>
      </c>
      <c r="V472" s="212" t="s">
        <v>516</v>
      </c>
      <c r="W472" s="218" t="s">
        <v>1259</v>
      </c>
      <c r="X472" s="73"/>
      <c r="Y472" s="389"/>
      <c r="Z472" s="67"/>
      <c r="AA472" s="67"/>
      <c r="AB472" s="67"/>
      <c r="AC472" s="67"/>
    </row>
    <row r="473" spans="2:29" ht="14.25" customHeight="1">
      <c r="B473" s="166"/>
      <c r="C473" s="173"/>
      <c r="D473" s="212">
        <v>3</v>
      </c>
      <c r="E473" s="212" t="s">
        <v>306</v>
      </c>
      <c r="F473" s="212" t="str">
        <f t="shared" si="47"/>
        <v>3 - Stationary Combustion</v>
      </c>
      <c r="G473" s="248" t="s">
        <v>307</v>
      </c>
      <c r="H473" s="212"/>
      <c r="I473" s="212"/>
      <c r="J473" s="212" t="s">
        <v>308</v>
      </c>
      <c r="K473" s="212" t="s">
        <v>316</v>
      </c>
      <c r="L473" s="212"/>
      <c r="M473" s="215" t="s">
        <v>316</v>
      </c>
      <c r="N473" s="289"/>
      <c r="O473" s="289"/>
      <c r="P473" s="289"/>
      <c r="Q473" s="289"/>
      <c r="R473" s="289"/>
      <c r="S473" s="232">
        <v>0.25090000000000001</v>
      </c>
      <c r="T473" s="388">
        <v>2.5239999999999999E-2</v>
      </c>
      <c r="U473" s="212" t="s">
        <v>204</v>
      </c>
      <c r="V473" s="212" t="s">
        <v>518</v>
      </c>
      <c r="W473" s="218" t="s">
        <v>1260</v>
      </c>
      <c r="X473" s="73"/>
      <c r="Y473" s="389"/>
      <c r="Z473" s="67"/>
      <c r="AA473" s="67"/>
      <c r="AB473" s="67"/>
      <c r="AC473" s="67"/>
    </row>
    <row r="474" spans="2:29" ht="14.25" customHeight="1">
      <c r="B474" s="166"/>
      <c r="C474" s="173"/>
      <c r="D474" s="212">
        <v>3</v>
      </c>
      <c r="E474" s="212" t="s">
        <v>306</v>
      </c>
      <c r="F474" s="212" t="str">
        <f t="shared" si="47"/>
        <v>3 - Stationary Combustion</v>
      </c>
      <c r="G474" s="248" t="s">
        <v>307</v>
      </c>
      <c r="H474" s="212"/>
      <c r="I474" s="212"/>
      <c r="J474" s="212" t="s">
        <v>308</v>
      </c>
      <c r="K474" s="212" t="s">
        <v>316</v>
      </c>
      <c r="L474" s="212"/>
      <c r="M474" s="215" t="s">
        <v>316</v>
      </c>
      <c r="N474" s="289"/>
      <c r="O474" s="289"/>
      <c r="P474" s="289"/>
      <c r="Q474" s="289"/>
      <c r="R474" s="289"/>
      <c r="S474" s="232">
        <v>0.25090000000000001</v>
      </c>
      <c r="T474" s="388">
        <v>2.5239999999999999E-2</v>
      </c>
      <c r="U474" s="212" t="s">
        <v>204</v>
      </c>
      <c r="V474" s="212" t="s">
        <v>518</v>
      </c>
      <c r="W474" s="218" t="s">
        <v>1260</v>
      </c>
      <c r="X474" s="73"/>
      <c r="Y474" s="389"/>
      <c r="Z474" s="67"/>
      <c r="AA474" s="67"/>
      <c r="AB474" s="67"/>
      <c r="AC474" s="67"/>
    </row>
    <row r="475" spans="2:29" ht="14.25" customHeight="1">
      <c r="B475" s="166"/>
      <c r="C475" s="173"/>
      <c r="D475" s="212">
        <v>3</v>
      </c>
      <c r="E475" s="212" t="s">
        <v>306</v>
      </c>
      <c r="F475" s="212" t="str">
        <f t="shared" si="47"/>
        <v>3 - Stationary Combustion</v>
      </c>
      <c r="G475" s="248" t="s">
        <v>307</v>
      </c>
      <c r="H475" s="212"/>
      <c r="I475" s="212"/>
      <c r="J475" s="212" t="s">
        <v>308</v>
      </c>
      <c r="K475" s="212" t="s">
        <v>316</v>
      </c>
      <c r="L475" s="212"/>
      <c r="M475" s="215" t="s">
        <v>316</v>
      </c>
      <c r="N475" s="289"/>
      <c r="O475" s="289"/>
      <c r="P475" s="289"/>
      <c r="Q475" s="289"/>
      <c r="R475" s="289"/>
      <c r="S475" s="232">
        <v>0.25090000000000001</v>
      </c>
      <c r="T475" s="388">
        <v>2.5239999999999999E-2</v>
      </c>
      <c r="U475" s="212" t="s">
        <v>204</v>
      </c>
      <c r="V475" s="212" t="s">
        <v>518</v>
      </c>
      <c r="W475" s="218" t="s">
        <v>1260</v>
      </c>
      <c r="X475" s="73"/>
      <c r="Y475" s="389"/>
      <c r="Z475" s="67"/>
      <c r="AA475" s="67"/>
      <c r="AB475" s="67"/>
      <c r="AC475" s="67"/>
    </row>
    <row r="476" spans="2:29" ht="14.25" customHeight="1">
      <c r="B476" s="166"/>
      <c r="C476" s="173"/>
      <c r="D476" s="212">
        <v>3</v>
      </c>
      <c r="E476" s="212" t="s">
        <v>306</v>
      </c>
      <c r="F476" s="212" t="str">
        <f t="shared" si="47"/>
        <v>3 - Stationary Combustion</v>
      </c>
      <c r="G476" s="248" t="s">
        <v>307</v>
      </c>
      <c r="H476" s="212"/>
      <c r="I476" s="212"/>
      <c r="J476" s="212" t="s">
        <v>308</v>
      </c>
      <c r="K476" s="212" t="s">
        <v>316</v>
      </c>
      <c r="L476" s="212"/>
      <c r="M476" s="215" t="s">
        <v>316</v>
      </c>
      <c r="N476" s="289"/>
      <c r="O476" s="289"/>
      <c r="P476" s="289"/>
      <c r="Q476" s="289"/>
      <c r="R476" s="289"/>
      <c r="S476" s="232">
        <v>0.25090000000000001</v>
      </c>
      <c r="T476" s="388">
        <v>2.5239999999999999E-2</v>
      </c>
      <c r="U476" s="212" t="s">
        <v>204</v>
      </c>
      <c r="V476" s="212" t="s">
        <v>518</v>
      </c>
      <c r="W476" s="218" t="s">
        <v>1260</v>
      </c>
      <c r="X476" s="73"/>
      <c r="Y476" s="389"/>
      <c r="Z476" s="67"/>
      <c r="AA476" s="67"/>
      <c r="AB476" s="67"/>
      <c r="AC476" s="67"/>
    </row>
    <row r="477" spans="2:29" ht="14.25" customHeight="1">
      <c r="B477" s="166"/>
      <c r="C477" s="173"/>
      <c r="D477" s="212">
        <v>3</v>
      </c>
      <c r="E477" s="212" t="s">
        <v>306</v>
      </c>
      <c r="F477" s="212" t="str">
        <f t="shared" si="47"/>
        <v>3 - Stationary Combustion</v>
      </c>
      <c r="G477" s="248" t="s">
        <v>307</v>
      </c>
      <c r="H477" s="212"/>
      <c r="I477" s="212"/>
      <c r="J477" s="212" t="s">
        <v>308</v>
      </c>
      <c r="K477" s="212" t="s">
        <v>317</v>
      </c>
      <c r="L477" s="212"/>
      <c r="M477" s="215" t="s">
        <v>317</v>
      </c>
      <c r="N477" s="289"/>
      <c r="O477" s="289"/>
      <c r="P477" s="289"/>
      <c r="Q477" s="289"/>
      <c r="R477" s="289"/>
      <c r="S477" s="232">
        <v>6.5629999999999994E-2</v>
      </c>
      <c r="T477" s="388">
        <v>8.8950000000000001E-2</v>
      </c>
      <c r="U477" s="212" t="s">
        <v>204</v>
      </c>
      <c r="V477" s="212" t="s">
        <v>520</v>
      </c>
      <c r="W477" s="218" t="s">
        <v>1261</v>
      </c>
      <c r="X477" s="73"/>
      <c r="Y477" s="389"/>
      <c r="Z477" s="67"/>
      <c r="AA477" s="67"/>
      <c r="AB477" s="67"/>
      <c r="AC477" s="67"/>
    </row>
    <row r="478" spans="2:29" ht="14.25" customHeight="1">
      <c r="B478" s="166"/>
      <c r="C478" s="173"/>
      <c r="D478" s="212">
        <v>3</v>
      </c>
      <c r="E478" s="212" t="s">
        <v>306</v>
      </c>
      <c r="F478" s="212" t="str">
        <f t="shared" si="47"/>
        <v>3 - Stationary Combustion</v>
      </c>
      <c r="G478" s="248" t="s">
        <v>307</v>
      </c>
      <c r="H478" s="212"/>
      <c r="I478" s="212"/>
      <c r="J478" s="212" t="s">
        <v>308</v>
      </c>
      <c r="K478" s="212" t="s">
        <v>317</v>
      </c>
      <c r="L478" s="212"/>
      <c r="M478" s="215" t="s">
        <v>317</v>
      </c>
      <c r="N478" s="289"/>
      <c r="O478" s="289"/>
      <c r="P478" s="289"/>
      <c r="Q478" s="289"/>
      <c r="R478" s="289"/>
      <c r="S478" s="232">
        <v>6.5629999999999994E-2</v>
      </c>
      <c r="T478" s="388">
        <v>8.8950000000000001E-2</v>
      </c>
      <c r="U478" s="212" t="s">
        <v>204</v>
      </c>
      <c r="V478" s="212" t="s">
        <v>520</v>
      </c>
      <c r="W478" s="218" t="s">
        <v>1261</v>
      </c>
      <c r="X478" s="73"/>
      <c r="Y478" s="389"/>
      <c r="Z478" s="67"/>
      <c r="AA478" s="67"/>
      <c r="AB478" s="67"/>
      <c r="AC478" s="67"/>
    </row>
    <row r="479" spans="2:29" ht="14.25" customHeight="1">
      <c r="B479" s="166"/>
      <c r="C479" s="173"/>
      <c r="D479" s="212">
        <v>3</v>
      </c>
      <c r="E479" s="212" t="s">
        <v>306</v>
      </c>
      <c r="F479" s="212" t="str">
        <f t="shared" si="47"/>
        <v>3 - Stationary Combustion</v>
      </c>
      <c r="G479" s="248" t="s">
        <v>307</v>
      </c>
      <c r="H479" s="212"/>
      <c r="I479" s="212"/>
      <c r="J479" s="212" t="s">
        <v>308</v>
      </c>
      <c r="K479" s="212" t="s">
        <v>317</v>
      </c>
      <c r="L479" s="212"/>
      <c r="M479" s="215" t="s">
        <v>317</v>
      </c>
      <c r="N479" s="289"/>
      <c r="O479" s="289"/>
      <c r="P479" s="289"/>
      <c r="Q479" s="289"/>
      <c r="R479" s="289"/>
      <c r="S479" s="232">
        <v>6.5629999999999994E-2</v>
      </c>
      <c r="T479" s="388">
        <v>8.8950000000000001E-2</v>
      </c>
      <c r="U479" s="212" t="s">
        <v>204</v>
      </c>
      <c r="V479" s="212" t="s">
        <v>520</v>
      </c>
      <c r="W479" s="218" t="s">
        <v>1261</v>
      </c>
      <c r="X479" s="73"/>
      <c r="Y479" s="389"/>
      <c r="Z479" s="67"/>
      <c r="AA479" s="67"/>
      <c r="AB479" s="67"/>
      <c r="AC479" s="67"/>
    </row>
    <row r="480" spans="2:29" ht="14.25" customHeight="1">
      <c r="B480" s="166"/>
      <c r="C480" s="173"/>
      <c r="D480" s="212">
        <v>3</v>
      </c>
      <c r="E480" s="212" t="s">
        <v>306</v>
      </c>
      <c r="F480" s="212" t="str">
        <f t="shared" si="47"/>
        <v>3 - Stationary Combustion</v>
      </c>
      <c r="G480" s="248" t="s">
        <v>307</v>
      </c>
      <c r="H480" s="212"/>
      <c r="I480" s="212"/>
      <c r="J480" s="212" t="s">
        <v>308</v>
      </c>
      <c r="K480" s="212" t="s">
        <v>317</v>
      </c>
      <c r="L480" s="212"/>
      <c r="M480" s="215" t="s">
        <v>317</v>
      </c>
      <c r="N480" s="289"/>
      <c r="O480" s="289"/>
      <c r="P480" s="289"/>
      <c r="Q480" s="289"/>
      <c r="R480" s="289"/>
      <c r="S480" s="232">
        <v>6.5629999999999994E-2</v>
      </c>
      <c r="T480" s="388">
        <v>8.8950000000000001E-2</v>
      </c>
      <c r="U480" s="212" t="s">
        <v>204</v>
      </c>
      <c r="V480" s="212" t="s">
        <v>520</v>
      </c>
      <c r="W480" s="218" t="s">
        <v>1261</v>
      </c>
      <c r="X480" s="73"/>
      <c r="Y480" s="389"/>
      <c r="Z480" s="67"/>
      <c r="AA480" s="67"/>
      <c r="AB480" s="67"/>
      <c r="AC480" s="67"/>
    </row>
    <row r="481" spans="2:29" ht="14.25" customHeight="1">
      <c r="B481" s="166"/>
      <c r="C481" s="173"/>
      <c r="D481" s="212">
        <v>3</v>
      </c>
      <c r="E481" s="212" t="s">
        <v>306</v>
      </c>
      <c r="F481" s="212" t="str">
        <f t="shared" si="47"/>
        <v>3 - Stationary Combustion</v>
      </c>
      <c r="G481" s="248" t="s">
        <v>307</v>
      </c>
      <c r="H481" s="212"/>
      <c r="I481" s="212"/>
      <c r="J481" s="212" t="s">
        <v>308</v>
      </c>
      <c r="K481" s="212" t="s">
        <v>318</v>
      </c>
      <c r="L481" s="212" t="s">
        <v>192</v>
      </c>
      <c r="M481" s="215" t="s">
        <v>521</v>
      </c>
      <c r="N481" s="289"/>
      <c r="O481" s="289"/>
      <c r="P481" s="289"/>
      <c r="Q481" s="289"/>
      <c r="R481" s="289"/>
      <c r="S481" s="232">
        <v>1.277E-2</v>
      </c>
      <c r="T481" s="388">
        <v>1.277E-2</v>
      </c>
      <c r="U481" s="212" t="s">
        <v>204</v>
      </c>
      <c r="V481" s="212" t="str">
        <f t="shared" ref="V481:V482" si="49">K481</f>
        <v>Wood logs</v>
      </c>
      <c r="W481" s="218" t="s">
        <v>1191</v>
      </c>
      <c r="X481" s="73"/>
      <c r="Y481" s="389"/>
      <c r="Z481" s="67"/>
      <c r="AA481" s="67"/>
      <c r="AB481" s="67"/>
      <c r="AC481" s="67"/>
    </row>
    <row r="482" spans="2:29" ht="14.25" customHeight="1">
      <c r="B482" s="166"/>
      <c r="C482" s="173"/>
      <c r="D482" s="212">
        <v>3</v>
      </c>
      <c r="E482" s="212" t="s">
        <v>306</v>
      </c>
      <c r="F482" s="212" t="str">
        <f t="shared" si="47"/>
        <v>3 - Stationary Combustion</v>
      </c>
      <c r="G482" s="248" t="s">
        <v>307</v>
      </c>
      <c r="H482" s="212"/>
      <c r="I482" s="212"/>
      <c r="J482" s="212" t="s">
        <v>308</v>
      </c>
      <c r="K482" s="212" t="s">
        <v>319</v>
      </c>
      <c r="L482" s="212" t="s">
        <v>192</v>
      </c>
      <c r="M482" s="215" t="s">
        <v>522</v>
      </c>
      <c r="N482" s="289"/>
      <c r="O482" s="289"/>
      <c r="P482" s="289"/>
      <c r="Q482" s="289"/>
      <c r="R482" s="289"/>
      <c r="S482" s="232">
        <v>7.92E-3</v>
      </c>
      <c r="T482" s="388">
        <v>7.92E-3</v>
      </c>
      <c r="U482" s="212" t="s">
        <v>204</v>
      </c>
      <c r="V482" s="212" t="str">
        <f t="shared" si="49"/>
        <v>Wood chips</v>
      </c>
      <c r="W482" s="218" t="s">
        <v>1192</v>
      </c>
      <c r="X482" s="73"/>
      <c r="Y482" s="389"/>
      <c r="Z482" s="67"/>
      <c r="AA482" s="67"/>
      <c r="AB482" s="67"/>
      <c r="AC482" s="67"/>
    </row>
    <row r="483" spans="2:29" ht="14.25" customHeight="1">
      <c r="B483" s="166"/>
      <c r="C483" s="173"/>
      <c r="D483" s="212">
        <v>3</v>
      </c>
      <c r="E483" s="212" t="s">
        <v>336</v>
      </c>
      <c r="F483" s="212" t="str">
        <f t="shared" si="47"/>
        <v>3 - Mobile Combustion</v>
      </c>
      <c r="G483" s="248" t="s">
        <v>307</v>
      </c>
      <c r="H483" s="212" t="s">
        <v>337</v>
      </c>
      <c r="I483" s="212"/>
      <c r="J483" s="212" t="s">
        <v>308</v>
      </c>
      <c r="K483" s="212" t="s">
        <v>203</v>
      </c>
      <c r="L483" s="212" t="s">
        <v>247</v>
      </c>
      <c r="M483" s="215" t="s">
        <v>549</v>
      </c>
      <c r="N483" s="289"/>
      <c r="O483" s="289"/>
      <c r="P483" s="289"/>
      <c r="Q483" s="289"/>
      <c r="R483" s="289"/>
      <c r="S483" s="232">
        <v>5.8880000000000002E-2</v>
      </c>
      <c r="T483" s="388">
        <v>5.9130000000000002E-2</v>
      </c>
      <c r="U483" s="212" t="s">
        <v>204</v>
      </c>
      <c r="V483" s="212" t="s">
        <v>550</v>
      </c>
      <c r="W483" s="218" t="s">
        <v>1262</v>
      </c>
      <c r="X483" s="73"/>
      <c r="Y483" s="389"/>
      <c r="Z483" s="67"/>
      <c r="AA483" s="67"/>
      <c r="AB483" s="67"/>
      <c r="AC483" s="67"/>
    </row>
    <row r="484" spans="2:29" ht="14.25" customHeight="1">
      <c r="B484" s="166"/>
      <c r="C484" s="173"/>
      <c r="D484" s="212">
        <v>3</v>
      </c>
      <c r="E484" s="212" t="s">
        <v>336</v>
      </c>
      <c r="F484" s="212" t="str">
        <f t="shared" si="47"/>
        <v>3 - Mobile Combustion</v>
      </c>
      <c r="G484" s="248" t="s">
        <v>307</v>
      </c>
      <c r="H484" s="212" t="s">
        <v>337</v>
      </c>
      <c r="I484" s="212"/>
      <c r="J484" s="212" t="s">
        <v>308</v>
      </c>
      <c r="K484" s="212" t="s">
        <v>338</v>
      </c>
      <c r="L484" s="212" t="s">
        <v>247</v>
      </c>
      <c r="M484" s="215" t="s">
        <v>551</v>
      </c>
      <c r="N484" s="289"/>
      <c r="O484" s="289"/>
      <c r="P484" s="289"/>
      <c r="Q484" s="289"/>
      <c r="R484" s="289"/>
      <c r="S484" s="232">
        <v>6.9409999999999999E-2</v>
      </c>
      <c r="T484" s="388">
        <v>9.3640000000000001E-2</v>
      </c>
      <c r="U484" s="212" t="s">
        <v>204</v>
      </c>
      <c r="V484" s="212" t="s">
        <v>552</v>
      </c>
      <c r="W484" s="218" t="s">
        <v>1263</v>
      </c>
      <c r="X484" s="73"/>
      <c r="Y484" s="389"/>
      <c r="Z484" s="67"/>
      <c r="AA484" s="67"/>
      <c r="AB484" s="67"/>
      <c r="AC484" s="67"/>
    </row>
    <row r="485" spans="2:29" ht="14.25" customHeight="1">
      <c r="B485" s="166"/>
      <c r="C485" s="173"/>
      <c r="D485" s="212">
        <v>3</v>
      </c>
      <c r="E485" s="212" t="s">
        <v>336</v>
      </c>
      <c r="F485" s="212" t="str">
        <f t="shared" si="47"/>
        <v>3 - Mobile Combustion</v>
      </c>
      <c r="G485" s="248" t="s">
        <v>307</v>
      </c>
      <c r="H485" s="212" t="s">
        <v>339</v>
      </c>
      <c r="I485" s="212"/>
      <c r="J485" s="212" t="s">
        <v>308</v>
      </c>
      <c r="K485" s="212" t="s">
        <v>203</v>
      </c>
      <c r="L485" s="212" t="s">
        <v>340</v>
      </c>
      <c r="M485" s="215" t="s">
        <v>553</v>
      </c>
      <c r="N485" s="289"/>
      <c r="O485" s="289"/>
      <c r="P485" s="289"/>
      <c r="Q485" s="289"/>
      <c r="R485" s="289"/>
      <c r="S485" s="232">
        <v>5.8880000000000002E-2</v>
      </c>
      <c r="T485" s="388">
        <v>5.9130000000000002E-2</v>
      </c>
      <c r="U485" s="212" t="s">
        <v>204</v>
      </c>
      <c r="V485" s="212" t="s">
        <v>550</v>
      </c>
      <c r="W485" s="218" t="s">
        <v>1262</v>
      </c>
      <c r="X485" s="73"/>
      <c r="Y485" s="389"/>
      <c r="Z485" s="67"/>
      <c r="AA485" s="67"/>
      <c r="AB485" s="67"/>
      <c r="AC485" s="67"/>
    </row>
    <row r="486" spans="2:29" ht="14.25" customHeight="1">
      <c r="B486" s="166"/>
      <c r="C486" s="173"/>
      <c r="D486" s="212">
        <v>3</v>
      </c>
      <c r="E486" s="212" t="s">
        <v>336</v>
      </c>
      <c r="F486" s="212" t="str">
        <f t="shared" ref="F486" si="50">D486&amp;" - "&amp;E486</f>
        <v>3 - Mobile Combustion</v>
      </c>
      <c r="G486" s="248" t="s">
        <v>307</v>
      </c>
      <c r="H486" s="212" t="s">
        <v>339</v>
      </c>
      <c r="I486" s="212"/>
      <c r="J486" s="212" t="s">
        <v>308</v>
      </c>
      <c r="K486" s="212" t="str">
        <f>K484</f>
        <v>Residual oil</v>
      </c>
      <c r="L486" s="212" t="s">
        <v>340</v>
      </c>
      <c r="M486" s="215" t="s">
        <v>1303</v>
      </c>
      <c r="N486" s="289"/>
      <c r="O486" s="289"/>
      <c r="P486" s="289"/>
      <c r="Q486" s="289"/>
      <c r="R486" s="289"/>
      <c r="S486" s="232">
        <f>S484</f>
        <v>6.9409999999999999E-2</v>
      </c>
      <c r="T486" s="388">
        <f>T484</f>
        <v>9.3640000000000001E-2</v>
      </c>
      <c r="U486" s="212" t="s">
        <v>204</v>
      </c>
      <c r="V486" s="212" t="s">
        <v>552</v>
      </c>
      <c r="W486" s="218" t="s">
        <v>1263</v>
      </c>
      <c r="X486" s="73"/>
      <c r="Y486" s="389"/>
      <c r="Z486" s="67"/>
      <c r="AA486" s="67"/>
      <c r="AB486" s="67"/>
      <c r="AC486" s="67"/>
    </row>
    <row r="487" spans="2:29" ht="14.25" customHeight="1">
      <c r="B487" s="166"/>
      <c r="C487" s="173"/>
      <c r="D487" s="212">
        <v>3</v>
      </c>
      <c r="E487" s="212" t="s">
        <v>336</v>
      </c>
      <c r="F487" s="212" t="str">
        <f t="shared" si="47"/>
        <v>3 - Mobile Combustion</v>
      </c>
      <c r="G487" s="248" t="s">
        <v>307</v>
      </c>
      <c r="H487" s="212" t="s">
        <v>341</v>
      </c>
      <c r="I487" s="212"/>
      <c r="J487" s="212" t="s">
        <v>308</v>
      </c>
      <c r="K487" s="212" t="s">
        <v>203</v>
      </c>
      <c r="L487" s="212" t="s">
        <v>342</v>
      </c>
      <c r="M487" s="215" t="s">
        <v>554</v>
      </c>
      <c r="N487" s="289"/>
      <c r="O487" s="289"/>
      <c r="P487" s="289"/>
      <c r="Q487" s="289"/>
      <c r="R487" s="289"/>
      <c r="S487" s="232">
        <v>5.8880000000000002E-2</v>
      </c>
      <c r="T487" s="388">
        <v>5.9130000000000002E-2</v>
      </c>
      <c r="U487" s="212" t="s">
        <v>204</v>
      </c>
      <c r="V487" s="212" t="s">
        <v>550</v>
      </c>
      <c r="W487" s="218" t="s">
        <v>1262</v>
      </c>
      <c r="X487" s="73"/>
      <c r="Y487" s="389"/>
      <c r="Z487" s="67"/>
      <c r="AA487" s="67"/>
      <c r="AB487" s="67"/>
      <c r="AC487" s="67"/>
    </row>
    <row r="488" spans="2:29" ht="14.25" customHeight="1">
      <c r="B488" s="166"/>
      <c r="C488" s="173"/>
      <c r="D488" s="212">
        <v>3</v>
      </c>
      <c r="E488" s="212" t="s">
        <v>336</v>
      </c>
      <c r="F488" s="212" t="str">
        <f t="shared" si="47"/>
        <v>3 - Mobile Combustion</v>
      </c>
      <c r="G488" s="248" t="s">
        <v>307</v>
      </c>
      <c r="H488" s="212" t="s">
        <v>341</v>
      </c>
      <c r="I488" s="212"/>
      <c r="J488" s="212" t="s">
        <v>308</v>
      </c>
      <c r="K488" s="212" t="s">
        <v>338</v>
      </c>
      <c r="L488" s="212" t="s">
        <v>342</v>
      </c>
      <c r="M488" s="215" t="s">
        <v>555</v>
      </c>
      <c r="N488" s="289"/>
      <c r="O488" s="289"/>
      <c r="P488" s="289"/>
      <c r="Q488" s="289"/>
      <c r="R488" s="289"/>
      <c r="S488" s="232">
        <v>6.9409999999999999E-2</v>
      </c>
      <c r="T488" s="388">
        <v>9.3640000000000001E-2</v>
      </c>
      <c r="U488" s="212" t="s">
        <v>204</v>
      </c>
      <c r="V488" s="212" t="s">
        <v>552</v>
      </c>
      <c r="W488" s="218" t="s">
        <v>1263</v>
      </c>
      <c r="X488" s="73"/>
      <c r="Y488" s="389"/>
      <c r="Z488" s="67"/>
      <c r="AA488" s="67"/>
      <c r="AB488" s="67"/>
      <c r="AC488" s="67"/>
    </row>
    <row r="489" spans="2:29" ht="14.25" customHeight="1">
      <c r="B489" s="166"/>
      <c r="C489" s="173"/>
      <c r="D489" s="212">
        <v>3</v>
      </c>
      <c r="E489" s="212" t="s">
        <v>336</v>
      </c>
      <c r="F489" s="212" t="str">
        <f t="shared" si="47"/>
        <v>3 - Mobile Combustion</v>
      </c>
      <c r="G489" s="248" t="s">
        <v>307</v>
      </c>
      <c r="H489" s="212" t="s">
        <v>343</v>
      </c>
      <c r="I489" s="212" t="s">
        <v>344</v>
      </c>
      <c r="J489" s="212" t="s">
        <v>308</v>
      </c>
      <c r="K489" s="212" t="s">
        <v>345</v>
      </c>
      <c r="L489" s="212" t="s">
        <v>343</v>
      </c>
      <c r="M489" s="215" t="s">
        <v>556</v>
      </c>
      <c r="N489" s="289"/>
      <c r="O489" s="289"/>
      <c r="P489" s="289"/>
      <c r="Q489" s="289"/>
      <c r="R489" s="289"/>
      <c r="S489" s="232">
        <v>19.542120000000001</v>
      </c>
      <c r="T489" s="388">
        <v>27.022629999999999</v>
      </c>
      <c r="U489" s="212" t="s">
        <v>309</v>
      </c>
      <c r="V489" s="212" t="s">
        <v>557</v>
      </c>
      <c r="W489" s="218" t="s">
        <v>1193</v>
      </c>
      <c r="X489" s="73"/>
      <c r="Y489" s="389"/>
      <c r="Z489" s="67"/>
      <c r="AA489" s="67"/>
      <c r="AB489" s="67"/>
      <c r="AC489" s="67"/>
    </row>
    <row r="490" spans="2:29" ht="14.25" customHeight="1">
      <c r="B490" s="166"/>
      <c r="C490" s="173"/>
      <c r="D490" s="212">
        <v>3</v>
      </c>
      <c r="E490" s="212" t="s">
        <v>336</v>
      </c>
      <c r="F490" s="212" t="str">
        <f t="shared" si="47"/>
        <v>3 - Mobile Combustion</v>
      </c>
      <c r="G490" s="248" t="s">
        <v>307</v>
      </c>
      <c r="H490" s="212" t="s">
        <v>343</v>
      </c>
      <c r="I490" s="212" t="s">
        <v>344</v>
      </c>
      <c r="J490" s="212" t="s">
        <v>308</v>
      </c>
      <c r="K490" s="212" t="s">
        <v>346</v>
      </c>
      <c r="L490" s="212" t="s">
        <v>343</v>
      </c>
      <c r="M490" s="215" t="s">
        <v>558</v>
      </c>
      <c r="N490" s="289"/>
      <c r="O490" s="289"/>
      <c r="P490" s="289"/>
      <c r="Q490" s="289"/>
      <c r="R490" s="289"/>
      <c r="S490" s="232">
        <v>10.97</v>
      </c>
      <c r="T490" s="388">
        <v>13.51896</v>
      </c>
      <c r="U490" s="212" t="s">
        <v>309</v>
      </c>
      <c r="V490" s="212" t="s">
        <v>559</v>
      </c>
      <c r="W490" s="218" t="s">
        <v>1194</v>
      </c>
      <c r="X490" s="73"/>
      <c r="Y490" s="389"/>
      <c r="Z490" s="67"/>
      <c r="AA490" s="67"/>
      <c r="AB490" s="67"/>
      <c r="AC490" s="67"/>
    </row>
    <row r="491" spans="2:29" ht="14.25" customHeight="1">
      <c r="B491" s="166"/>
      <c r="C491" s="173"/>
      <c r="D491" s="212">
        <v>3</v>
      </c>
      <c r="E491" s="212" t="s">
        <v>336</v>
      </c>
      <c r="F491" s="212" t="str">
        <f t="shared" si="47"/>
        <v>3 - Mobile Combustion</v>
      </c>
      <c r="G491" s="248" t="s">
        <v>307</v>
      </c>
      <c r="H491" s="212" t="s">
        <v>343</v>
      </c>
      <c r="I491" s="212" t="s">
        <v>344</v>
      </c>
      <c r="J491" s="212" t="s">
        <v>308</v>
      </c>
      <c r="K491" s="212" t="s">
        <v>203</v>
      </c>
      <c r="L491" s="212" t="s">
        <v>343</v>
      </c>
      <c r="M491" s="215" t="s">
        <v>560</v>
      </c>
      <c r="N491" s="289"/>
      <c r="O491" s="289"/>
      <c r="P491" s="289"/>
      <c r="Q491" s="289"/>
      <c r="R491" s="289"/>
      <c r="S491" s="232">
        <v>5.8880000000000002E-2</v>
      </c>
      <c r="T491" s="388">
        <v>5.9130000000000002E-2</v>
      </c>
      <c r="U491" s="212" t="s">
        <v>204</v>
      </c>
      <c r="V491" s="212" t="s">
        <v>550</v>
      </c>
      <c r="W491" s="218" t="s">
        <v>1262</v>
      </c>
      <c r="X491" s="73"/>
      <c r="Y491" s="389"/>
      <c r="Z491" s="67"/>
      <c r="AA491" s="67"/>
      <c r="AB491" s="67"/>
      <c r="AC491" s="67"/>
    </row>
    <row r="492" spans="2:29" ht="14.25" customHeight="1">
      <c r="B492" s="166"/>
      <c r="C492" s="173"/>
      <c r="D492" s="212">
        <v>3</v>
      </c>
      <c r="E492" s="212" t="s">
        <v>336</v>
      </c>
      <c r="F492" s="212" t="str">
        <f t="shared" si="47"/>
        <v>3 - Mobile Combustion</v>
      </c>
      <c r="G492" s="248" t="s">
        <v>307</v>
      </c>
      <c r="H492" s="212" t="s">
        <v>343</v>
      </c>
      <c r="I492" s="212" t="s">
        <v>344</v>
      </c>
      <c r="J492" s="212" t="s">
        <v>308</v>
      </c>
      <c r="K492" s="212" t="s">
        <v>207</v>
      </c>
      <c r="L492" s="212" t="s">
        <v>343</v>
      </c>
      <c r="M492" s="215" t="s">
        <v>561</v>
      </c>
      <c r="N492" s="289"/>
      <c r="O492" s="289"/>
      <c r="P492" s="289"/>
      <c r="Q492" s="289"/>
      <c r="R492" s="289"/>
      <c r="S492" s="232">
        <v>6.2239999999999997E-2</v>
      </c>
      <c r="T492" s="388">
        <v>6.2530000000000002E-2</v>
      </c>
      <c r="U492" s="212" t="s">
        <v>204</v>
      </c>
      <c r="V492" s="212" t="s">
        <v>562</v>
      </c>
      <c r="W492" s="218" t="s">
        <v>1264</v>
      </c>
      <c r="X492" s="73"/>
      <c r="Y492" s="389"/>
      <c r="Z492" s="67"/>
      <c r="AA492" s="67"/>
      <c r="AB492" s="67"/>
      <c r="AC492" s="67"/>
    </row>
    <row r="493" spans="2:29" ht="14.25" customHeight="1">
      <c r="B493" s="166"/>
      <c r="C493" s="173"/>
      <c r="D493" s="212">
        <v>3</v>
      </c>
      <c r="E493" s="212" t="s">
        <v>336</v>
      </c>
      <c r="F493" s="212" t="str">
        <f t="shared" si="47"/>
        <v>3 - Mobile Combustion</v>
      </c>
      <c r="G493" s="248" t="s">
        <v>307</v>
      </c>
      <c r="H493" s="212" t="s">
        <v>202</v>
      </c>
      <c r="I493" s="212" t="s">
        <v>344</v>
      </c>
      <c r="J493" s="212" t="s">
        <v>308</v>
      </c>
      <c r="K493" s="212" t="s">
        <v>345</v>
      </c>
      <c r="L493" s="212" t="s">
        <v>202</v>
      </c>
      <c r="M493" s="215" t="s">
        <v>563</v>
      </c>
      <c r="N493" s="289"/>
      <c r="O493" s="289"/>
      <c r="P493" s="289"/>
      <c r="Q493" s="289"/>
      <c r="R493" s="289"/>
      <c r="S493" s="232">
        <v>19.542120000000001</v>
      </c>
      <c r="T493" s="388">
        <v>27.022629999999999</v>
      </c>
      <c r="U493" s="212" t="s">
        <v>309</v>
      </c>
      <c r="V493" s="212" t="s">
        <v>557</v>
      </c>
      <c r="W493" s="218" t="s">
        <v>1193</v>
      </c>
      <c r="X493" s="73"/>
      <c r="Y493" s="389"/>
      <c r="Z493" s="67"/>
      <c r="AA493" s="67"/>
      <c r="AB493" s="67"/>
      <c r="AC493" s="67"/>
    </row>
    <row r="494" spans="2:29" ht="14.25" customHeight="1">
      <c r="B494" s="166"/>
      <c r="C494" s="173"/>
      <c r="D494" s="212">
        <v>3</v>
      </c>
      <c r="E494" s="212" t="s">
        <v>336</v>
      </c>
      <c r="F494" s="212" t="str">
        <f t="shared" si="47"/>
        <v>3 - Mobile Combustion</v>
      </c>
      <c r="G494" s="248" t="s">
        <v>307</v>
      </c>
      <c r="H494" s="212" t="s">
        <v>202</v>
      </c>
      <c r="I494" s="212" t="s">
        <v>344</v>
      </c>
      <c r="J494" s="212" t="s">
        <v>308</v>
      </c>
      <c r="K494" s="212" t="s">
        <v>346</v>
      </c>
      <c r="L494" s="212" t="s">
        <v>202</v>
      </c>
      <c r="M494" s="215" t="s">
        <v>564</v>
      </c>
      <c r="N494" s="289"/>
      <c r="O494" s="289"/>
      <c r="P494" s="289"/>
      <c r="Q494" s="289"/>
      <c r="R494" s="289"/>
      <c r="S494" s="232">
        <v>10.97</v>
      </c>
      <c r="T494" s="388">
        <v>13.51896</v>
      </c>
      <c r="U494" s="212" t="s">
        <v>309</v>
      </c>
      <c r="V494" s="212" t="s">
        <v>559</v>
      </c>
      <c r="W494" s="218" t="s">
        <v>1194</v>
      </c>
      <c r="X494" s="73"/>
      <c r="Y494" s="389"/>
      <c r="Z494" s="67"/>
      <c r="AA494" s="67"/>
      <c r="AB494" s="67"/>
      <c r="AC494" s="67"/>
    </row>
    <row r="495" spans="2:29" ht="14.25" customHeight="1">
      <c r="B495" s="166"/>
      <c r="C495" s="173"/>
      <c r="D495" s="212">
        <v>3</v>
      </c>
      <c r="E495" s="212" t="s">
        <v>336</v>
      </c>
      <c r="F495" s="212" t="str">
        <f t="shared" si="47"/>
        <v>3 - Mobile Combustion</v>
      </c>
      <c r="G495" s="248" t="s">
        <v>307</v>
      </c>
      <c r="H495" s="212" t="s">
        <v>202</v>
      </c>
      <c r="I495" s="212" t="s">
        <v>344</v>
      </c>
      <c r="J495" s="212" t="s">
        <v>308</v>
      </c>
      <c r="K495" s="212" t="s">
        <v>203</v>
      </c>
      <c r="L495" s="212" t="s">
        <v>202</v>
      </c>
      <c r="M495" s="215" t="s">
        <v>565</v>
      </c>
      <c r="N495" s="289"/>
      <c r="O495" s="289"/>
      <c r="P495" s="289"/>
      <c r="Q495" s="289"/>
      <c r="R495" s="289"/>
      <c r="S495" s="232">
        <v>5.8880000000000002E-2</v>
      </c>
      <c r="T495" s="388">
        <v>5.9130000000000002E-2</v>
      </c>
      <c r="U495" s="212" t="s">
        <v>204</v>
      </c>
      <c r="V495" s="212" t="s">
        <v>550</v>
      </c>
      <c r="W495" s="218" t="s">
        <v>1262</v>
      </c>
      <c r="X495" s="73"/>
      <c r="Y495" s="389"/>
      <c r="Z495" s="67"/>
      <c r="AA495" s="67"/>
      <c r="AB495" s="67"/>
      <c r="AC495" s="67"/>
    </row>
    <row r="496" spans="2:29" ht="14.25" customHeight="1">
      <c r="B496" s="166"/>
      <c r="C496" s="173"/>
      <c r="D496" s="212">
        <v>3</v>
      </c>
      <c r="E496" s="212" t="s">
        <v>336</v>
      </c>
      <c r="F496" s="212" t="str">
        <f t="shared" si="47"/>
        <v>3 - Mobile Combustion</v>
      </c>
      <c r="G496" s="248" t="s">
        <v>307</v>
      </c>
      <c r="H496" s="212" t="s">
        <v>202</v>
      </c>
      <c r="I496" s="212" t="s">
        <v>344</v>
      </c>
      <c r="J496" s="212" t="s">
        <v>308</v>
      </c>
      <c r="K496" s="212" t="s">
        <v>207</v>
      </c>
      <c r="L496" s="212" t="s">
        <v>202</v>
      </c>
      <c r="M496" s="215" t="s">
        <v>566</v>
      </c>
      <c r="N496" s="289"/>
      <c r="O496" s="289"/>
      <c r="P496" s="289"/>
      <c r="Q496" s="289"/>
      <c r="R496" s="289"/>
      <c r="S496" s="232">
        <v>6.2239999999999997E-2</v>
      </c>
      <c r="T496" s="388">
        <v>6.2530000000000002E-2</v>
      </c>
      <c r="U496" s="212" t="s">
        <v>204</v>
      </c>
      <c r="V496" s="212" t="s">
        <v>562</v>
      </c>
      <c r="W496" s="218" t="s">
        <v>1264</v>
      </c>
      <c r="X496" s="73"/>
      <c r="Y496" s="389"/>
      <c r="Z496" s="67"/>
      <c r="AA496" s="67"/>
      <c r="AB496" s="67"/>
      <c r="AC496" s="67"/>
    </row>
    <row r="497" spans="2:29" ht="14.25" customHeight="1">
      <c r="B497" s="166"/>
      <c r="C497" s="173"/>
      <c r="D497" s="212">
        <v>3</v>
      </c>
      <c r="E497" s="212" t="s">
        <v>336</v>
      </c>
      <c r="F497" s="212" t="str">
        <f t="shared" ref="F497:F561" si="51">D497&amp;" - "&amp;E497</f>
        <v>3 - Mobile Combustion</v>
      </c>
      <c r="G497" s="248" t="s">
        <v>307</v>
      </c>
      <c r="H497" s="212" t="s">
        <v>206</v>
      </c>
      <c r="I497" s="212" t="s">
        <v>344</v>
      </c>
      <c r="J497" s="212" t="s">
        <v>308</v>
      </c>
      <c r="K497" s="212" t="s">
        <v>345</v>
      </c>
      <c r="L497" s="212" t="s">
        <v>206</v>
      </c>
      <c r="M497" s="215" t="s">
        <v>567</v>
      </c>
      <c r="N497" s="289"/>
      <c r="O497" s="289"/>
      <c r="P497" s="289"/>
      <c r="Q497" s="289"/>
      <c r="R497" s="289"/>
      <c r="S497" s="232">
        <v>19.542120000000001</v>
      </c>
      <c r="T497" s="388">
        <v>27.022629999999999</v>
      </c>
      <c r="U497" s="212" t="s">
        <v>309</v>
      </c>
      <c r="V497" s="212" t="s">
        <v>557</v>
      </c>
      <c r="W497" s="218" t="s">
        <v>1193</v>
      </c>
      <c r="X497" s="73"/>
      <c r="Y497" s="389"/>
      <c r="Z497" s="67"/>
      <c r="AA497" s="67"/>
      <c r="AB497" s="67"/>
      <c r="AC497" s="67"/>
    </row>
    <row r="498" spans="2:29" ht="14.25" customHeight="1">
      <c r="B498" s="166"/>
      <c r="C498" s="173"/>
      <c r="D498" s="212">
        <v>3</v>
      </c>
      <c r="E498" s="212" t="s">
        <v>336</v>
      </c>
      <c r="F498" s="212" t="str">
        <f t="shared" si="51"/>
        <v>3 - Mobile Combustion</v>
      </c>
      <c r="G498" s="248" t="s">
        <v>307</v>
      </c>
      <c r="H498" s="212" t="s">
        <v>206</v>
      </c>
      <c r="I498" s="212" t="s">
        <v>344</v>
      </c>
      <c r="J498" s="212" t="s">
        <v>308</v>
      </c>
      <c r="K498" s="212" t="s">
        <v>346</v>
      </c>
      <c r="L498" s="212" t="s">
        <v>206</v>
      </c>
      <c r="M498" s="215" t="s">
        <v>568</v>
      </c>
      <c r="N498" s="289"/>
      <c r="O498" s="289"/>
      <c r="P498" s="289"/>
      <c r="Q498" s="289"/>
      <c r="R498" s="289"/>
      <c r="S498" s="232">
        <v>10.97</v>
      </c>
      <c r="T498" s="388">
        <v>13.51896</v>
      </c>
      <c r="U498" s="212" t="s">
        <v>309</v>
      </c>
      <c r="V498" s="212" t="s">
        <v>559</v>
      </c>
      <c r="W498" s="218" t="s">
        <v>1194</v>
      </c>
      <c r="X498" s="73"/>
      <c r="Y498" s="389"/>
      <c r="Z498" s="67"/>
      <c r="AA498" s="67"/>
      <c r="AB498" s="67"/>
      <c r="AC498" s="67"/>
    </row>
    <row r="499" spans="2:29" ht="14.25" customHeight="1">
      <c r="B499" s="166"/>
      <c r="C499" s="173"/>
      <c r="D499" s="212">
        <v>3</v>
      </c>
      <c r="E499" s="212" t="s">
        <v>336</v>
      </c>
      <c r="F499" s="212" t="str">
        <f t="shared" si="51"/>
        <v>3 - Mobile Combustion</v>
      </c>
      <c r="G499" s="248" t="s">
        <v>307</v>
      </c>
      <c r="H499" s="212" t="s">
        <v>206</v>
      </c>
      <c r="I499" s="212" t="s">
        <v>344</v>
      </c>
      <c r="J499" s="212" t="s">
        <v>308</v>
      </c>
      <c r="K499" s="212" t="s">
        <v>203</v>
      </c>
      <c r="L499" s="212" t="s">
        <v>206</v>
      </c>
      <c r="M499" s="215" t="s">
        <v>569</v>
      </c>
      <c r="N499" s="289"/>
      <c r="O499" s="289"/>
      <c r="P499" s="289"/>
      <c r="Q499" s="289"/>
      <c r="R499" s="289"/>
      <c r="S499" s="232">
        <v>5.8880000000000002E-2</v>
      </c>
      <c r="T499" s="388">
        <v>5.9130000000000002E-2</v>
      </c>
      <c r="U499" s="212" t="s">
        <v>204</v>
      </c>
      <c r="V499" s="212" t="s">
        <v>550</v>
      </c>
      <c r="W499" s="218" t="s">
        <v>1262</v>
      </c>
      <c r="X499" s="73"/>
      <c r="Y499" s="389"/>
      <c r="Z499" s="67"/>
      <c r="AA499" s="67"/>
      <c r="AB499" s="67"/>
      <c r="AC499" s="67"/>
    </row>
    <row r="500" spans="2:29" ht="14.25" customHeight="1">
      <c r="B500" s="166"/>
      <c r="C500" s="173"/>
      <c r="D500" s="212">
        <v>3</v>
      </c>
      <c r="E500" s="212" t="s">
        <v>336</v>
      </c>
      <c r="F500" s="212" t="str">
        <f t="shared" si="51"/>
        <v>3 - Mobile Combustion</v>
      </c>
      <c r="G500" s="248" t="s">
        <v>307</v>
      </c>
      <c r="H500" s="212" t="s">
        <v>206</v>
      </c>
      <c r="I500" s="212" t="s">
        <v>344</v>
      </c>
      <c r="J500" s="212" t="s">
        <v>308</v>
      </c>
      <c r="K500" s="212" t="s">
        <v>207</v>
      </c>
      <c r="L500" s="212" t="s">
        <v>206</v>
      </c>
      <c r="M500" s="215" t="s">
        <v>570</v>
      </c>
      <c r="N500" s="289"/>
      <c r="O500" s="289"/>
      <c r="P500" s="289"/>
      <c r="Q500" s="289"/>
      <c r="R500" s="289"/>
      <c r="S500" s="232">
        <v>6.2239999999999997E-2</v>
      </c>
      <c r="T500" s="388">
        <v>6.2530000000000002E-2</v>
      </c>
      <c r="U500" s="212" t="s">
        <v>204</v>
      </c>
      <c r="V500" s="212" t="s">
        <v>562</v>
      </c>
      <c r="W500" s="218" t="s">
        <v>1264</v>
      </c>
      <c r="X500" s="73"/>
      <c r="Y500" s="389"/>
      <c r="Z500" s="67"/>
      <c r="AA500" s="67"/>
      <c r="AB500" s="67"/>
      <c r="AC500" s="67"/>
    </row>
    <row r="501" spans="2:29" ht="14.25" customHeight="1">
      <c r="B501" s="166"/>
      <c r="C501" s="173"/>
      <c r="D501" s="212">
        <v>3</v>
      </c>
      <c r="E501" s="212" t="s">
        <v>336</v>
      </c>
      <c r="F501" s="212" t="str">
        <f t="shared" si="51"/>
        <v>3 - Mobile Combustion</v>
      </c>
      <c r="G501" s="248" t="s">
        <v>307</v>
      </c>
      <c r="H501" s="212" t="s">
        <v>347</v>
      </c>
      <c r="I501" s="212" t="s">
        <v>344</v>
      </c>
      <c r="J501" s="212" t="s">
        <v>308</v>
      </c>
      <c r="K501" s="212" t="s">
        <v>345</v>
      </c>
      <c r="L501" s="212" t="s">
        <v>347</v>
      </c>
      <c r="M501" s="215" t="s">
        <v>571</v>
      </c>
      <c r="N501" s="289"/>
      <c r="O501" s="289"/>
      <c r="P501" s="289"/>
      <c r="Q501" s="289"/>
      <c r="R501" s="289"/>
      <c r="S501" s="232">
        <v>19.542120000000001</v>
      </c>
      <c r="T501" s="388">
        <v>27.022629999999999</v>
      </c>
      <c r="U501" s="212" t="s">
        <v>309</v>
      </c>
      <c r="V501" s="212" t="s">
        <v>557</v>
      </c>
      <c r="W501" s="218" t="s">
        <v>1193</v>
      </c>
      <c r="X501" s="73"/>
      <c r="Y501" s="389"/>
      <c r="Z501" s="67"/>
      <c r="AA501" s="67"/>
      <c r="AB501" s="67"/>
      <c r="AC501" s="67"/>
    </row>
    <row r="502" spans="2:29" ht="14.25" customHeight="1">
      <c r="B502" s="166"/>
      <c r="C502" s="173"/>
      <c r="D502" s="212">
        <v>3</v>
      </c>
      <c r="E502" s="212" t="s">
        <v>336</v>
      </c>
      <c r="F502" s="212" t="str">
        <f t="shared" si="51"/>
        <v>3 - Mobile Combustion</v>
      </c>
      <c r="G502" s="248" t="s">
        <v>307</v>
      </c>
      <c r="H502" s="212" t="s">
        <v>347</v>
      </c>
      <c r="I502" s="212" t="s">
        <v>344</v>
      </c>
      <c r="J502" s="212" t="s">
        <v>308</v>
      </c>
      <c r="K502" s="212" t="s">
        <v>207</v>
      </c>
      <c r="L502" s="212" t="s">
        <v>347</v>
      </c>
      <c r="M502" s="215" t="s">
        <v>572</v>
      </c>
      <c r="N502" s="289"/>
      <c r="O502" s="289"/>
      <c r="P502" s="289"/>
      <c r="Q502" s="289"/>
      <c r="R502" s="289"/>
      <c r="S502" s="232">
        <v>6.2239999999999997E-2</v>
      </c>
      <c r="T502" s="388">
        <v>6.2530000000000002E-2</v>
      </c>
      <c r="U502" s="212" t="s">
        <v>204</v>
      </c>
      <c r="V502" s="212" t="s">
        <v>562</v>
      </c>
      <c r="W502" s="218" t="s">
        <v>1264</v>
      </c>
      <c r="X502" s="73"/>
      <c r="Y502" s="389"/>
      <c r="Z502" s="67"/>
      <c r="AA502" s="67"/>
      <c r="AB502" s="67"/>
      <c r="AC502" s="67"/>
    </row>
    <row r="503" spans="2:29" ht="14.25" customHeight="1">
      <c r="B503" s="166"/>
      <c r="C503" s="173"/>
      <c r="D503" s="212">
        <v>3</v>
      </c>
      <c r="E503" s="212" t="s">
        <v>336</v>
      </c>
      <c r="F503" s="212" t="str">
        <f t="shared" si="51"/>
        <v>3 - Mobile Combustion</v>
      </c>
      <c r="G503" s="248" t="s">
        <v>307</v>
      </c>
      <c r="H503" s="212" t="s">
        <v>325</v>
      </c>
      <c r="I503" s="212"/>
      <c r="J503" s="212" t="s">
        <v>308</v>
      </c>
      <c r="K503" s="212" t="s">
        <v>345</v>
      </c>
      <c r="L503" s="212" t="s">
        <v>325</v>
      </c>
      <c r="M503" s="215" t="s">
        <v>573</v>
      </c>
      <c r="N503" s="289"/>
      <c r="O503" s="289"/>
      <c r="P503" s="289"/>
      <c r="Q503" s="289"/>
      <c r="R503" s="289"/>
      <c r="S503" s="232">
        <v>19.542120000000001</v>
      </c>
      <c r="T503" s="388">
        <v>27.022629999999999</v>
      </c>
      <c r="U503" s="212" t="s">
        <v>309</v>
      </c>
      <c r="V503" s="212" t="s">
        <v>557</v>
      </c>
      <c r="W503" s="218" t="s">
        <v>1193</v>
      </c>
      <c r="X503" s="73"/>
      <c r="Y503" s="389"/>
      <c r="Z503" s="67"/>
      <c r="AA503" s="67"/>
      <c r="AB503" s="67"/>
      <c r="AC503" s="67"/>
    </row>
    <row r="504" spans="2:29" ht="14.25" customHeight="1">
      <c r="B504" s="166"/>
      <c r="C504" s="173"/>
      <c r="D504" s="212">
        <v>3</v>
      </c>
      <c r="E504" s="212" t="s">
        <v>336</v>
      </c>
      <c r="F504" s="212" t="str">
        <f t="shared" si="51"/>
        <v>3 - Mobile Combustion</v>
      </c>
      <c r="G504" s="248" t="s">
        <v>307</v>
      </c>
      <c r="H504" s="212" t="s">
        <v>325</v>
      </c>
      <c r="I504" s="212"/>
      <c r="J504" s="212" t="s">
        <v>308</v>
      </c>
      <c r="K504" s="212" t="s">
        <v>203</v>
      </c>
      <c r="L504" s="212" t="s">
        <v>325</v>
      </c>
      <c r="M504" s="215" t="s">
        <v>574</v>
      </c>
      <c r="N504" s="289"/>
      <c r="O504" s="289"/>
      <c r="P504" s="289"/>
      <c r="Q504" s="289"/>
      <c r="R504" s="289"/>
      <c r="S504" s="232">
        <v>5.8880000000000002E-2</v>
      </c>
      <c r="T504" s="388">
        <v>5.9130000000000002E-2</v>
      </c>
      <c r="U504" s="212" t="s">
        <v>204</v>
      </c>
      <c r="V504" s="212" t="s">
        <v>550</v>
      </c>
      <c r="W504" s="218" t="s">
        <v>1262</v>
      </c>
      <c r="X504" s="73"/>
      <c r="Y504" s="389"/>
      <c r="Z504" s="67"/>
      <c r="AA504" s="67"/>
      <c r="AB504" s="67"/>
      <c r="AC504" s="67"/>
    </row>
    <row r="505" spans="2:29" ht="14.25" customHeight="1">
      <c r="B505" s="166"/>
      <c r="C505" s="173"/>
      <c r="D505" s="212">
        <v>3</v>
      </c>
      <c r="E505" s="212" t="s">
        <v>336</v>
      </c>
      <c r="F505" s="212" t="str">
        <f t="shared" si="51"/>
        <v>3 - Mobile Combustion</v>
      </c>
      <c r="G505" s="248" t="s">
        <v>307</v>
      </c>
      <c r="H505" s="212" t="s">
        <v>325</v>
      </c>
      <c r="I505" s="212"/>
      <c r="J505" s="212" t="s">
        <v>308</v>
      </c>
      <c r="K505" s="212" t="s">
        <v>207</v>
      </c>
      <c r="L505" s="212" t="s">
        <v>325</v>
      </c>
      <c r="M505" s="215" t="s">
        <v>575</v>
      </c>
      <c r="N505" s="289"/>
      <c r="O505" s="289"/>
      <c r="P505" s="289"/>
      <c r="Q505" s="289"/>
      <c r="R505" s="289"/>
      <c r="S505" s="232">
        <v>6.2239999999999997E-2</v>
      </c>
      <c r="T505" s="388">
        <v>6.2530000000000002E-2</v>
      </c>
      <c r="U505" s="212" t="s">
        <v>204</v>
      </c>
      <c r="V505" s="212" t="s">
        <v>562</v>
      </c>
      <c r="W505" s="218" t="s">
        <v>1264</v>
      </c>
      <c r="X505" s="73"/>
      <c r="Y505" s="389"/>
      <c r="Z505" s="67"/>
      <c r="AA505" s="67"/>
      <c r="AB505" s="67"/>
      <c r="AC505" s="67"/>
    </row>
    <row r="506" spans="2:29" ht="14.25" customHeight="1">
      <c r="B506" s="166"/>
      <c r="C506" s="173"/>
      <c r="D506" s="212">
        <v>3</v>
      </c>
      <c r="E506" s="212" t="s">
        <v>336</v>
      </c>
      <c r="F506" s="212" t="str">
        <f t="shared" si="51"/>
        <v>3 - Mobile Combustion</v>
      </c>
      <c r="G506" s="248" t="s">
        <v>307</v>
      </c>
      <c r="H506" s="212" t="s">
        <v>348</v>
      </c>
      <c r="I506" s="212"/>
      <c r="J506" s="212" t="s">
        <v>308</v>
      </c>
      <c r="K506" s="212" t="s">
        <v>345</v>
      </c>
      <c r="L506" s="212" t="s">
        <v>348</v>
      </c>
      <c r="M506" s="215" t="s">
        <v>576</v>
      </c>
      <c r="N506" s="289"/>
      <c r="O506" s="289"/>
      <c r="P506" s="289"/>
      <c r="Q506" s="289"/>
      <c r="R506" s="289"/>
      <c r="S506" s="232">
        <v>19.542120000000001</v>
      </c>
      <c r="T506" s="388">
        <v>27.022629999999999</v>
      </c>
      <c r="U506" s="212" t="s">
        <v>309</v>
      </c>
      <c r="V506" s="212" t="s">
        <v>557</v>
      </c>
      <c r="W506" s="218" t="s">
        <v>1193</v>
      </c>
      <c r="X506" s="73"/>
      <c r="Y506" s="389"/>
      <c r="Z506" s="67"/>
      <c r="AA506" s="67"/>
      <c r="AB506" s="67"/>
      <c r="AC506" s="67"/>
    </row>
    <row r="507" spans="2:29" ht="14.25" customHeight="1">
      <c r="B507" s="166"/>
      <c r="C507" s="173"/>
      <c r="D507" s="212">
        <v>3</v>
      </c>
      <c r="E507" s="212" t="s">
        <v>336</v>
      </c>
      <c r="F507" s="212" t="str">
        <f t="shared" si="51"/>
        <v>3 - Mobile Combustion</v>
      </c>
      <c r="G507" s="248" t="s">
        <v>307</v>
      </c>
      <c r="H507" s="212" t="s">
        <v>348</v>
      </c>
      <c r="I507" s="212"/>
      <c r="J507" s="212" t="s">
        <v>308</v>
      </c>
      <c r="K507" s="212" t="s">
        <v>203</v>
      </c>
      <c r="L507" s="212" t="s">
        <v>348</v>
      </c>
      <c r="M507" s="215" t="s">
        <v>577</v>
      </c>
      <c r="N507" s="289"/>
      <c r="O507" s="289"/>
      <c r="P507" s="289"/>
      <c r="Q507" s="289"/>
      <c r="R507" s="289"/>
      <c r="S507" s="232">
        <v>5.8880000000000002E-2</v>
      </c>
      <c r="T507" s="388">
        <v>5.9130000000000002E-2</v>
      </c>
      <c r="U507" s="212" t="s">
        <v>204</v>
      </c>
      <c r="V507" s="212" t="s">
        <v>550</v>
      </c>
      <c r="W507" s="218" t="s">
        <v>1262</v>
      </c>
      <c r="X507" s="73"/>
      <c r="Y507" s="389"/>
      <c r="Z507" s="67"/>
      <c r="AA507" s="67"/>
      <c r="AB507" s="67"/>
      <c r="AC507" s="67"/>
    </row>
    <row r="508" spans="2:29" ht="14.25" customHeight="1">
      <c r="B508" s="166"/>
      <c r="C508" s="173"/>
      <c r="D508" s="212">
        <v>3</v>
      </c>
      <c r="E508" s="212" t="s">
        <v>336</v>
      </c>
      <c r="F508" s="212" t="str">
        <f t="shared" si="51"/>
        <v>3 - Mobile Combustion</v>
      </c>
      <c r="G508" s="248" t="s">
        <v>307</v>
      </c>
      <c r="H508" s="212" t="s">
        <v>348</v>
      </c>
      <c r="I508" s="212"/>
      <c r="J508" s="212" t="s">
        <v>308</v>
      </c>
      <c r="K508" s="212" t="s">
        <v>207</v>
      </c>
      <c r="L508" s="212" t="s">
        <v>348</v>
      </c>
      <c r="M508" s="215" t="s">
        <v>578</v>
      </c>
      <c r="N508" s="289"/>
      <c r="O508" s="289"/>
      <c r="P508" s="289"/>
      <c r="Q508" s="289"/>
      <c r="R508" s="289"/>
      <c r="S508" s="232">
        <v>6.2239999999999997E-2</v>
      </c>
      <c r="T508" s="388">
        <v>6.2530000000000002E-2</v>
      </c>
      <c r="U508" s="212" t="s">
        <v>204</v>
      </c>
      <c r="V508" s="212" t="s">
        <v>562</v>
      </c>
      <c r="W508" s="218" t="s">
        <v>1264</v>
      </c>
      <c r="X508" s="73"/>
      <c r="Y508" s="389"/>
      <c r="Z508" s="67"/>
      <c r="AA508" s="67"/>
      <c r="AB508" s="67"/>
      <c r="AC508" s="67"/>
    </row>
    <row r="509" spans="2:29" ht="14.25" customHeight="1">
      <c r="B509" s="166"/>
      <c r="C509" s="173"/>
      <c r="D509" s="212">
        <v>3</v>
      </c>
      <c r="E509" s="212" t="s">
        <v>336</v>
      </c>
      <c r="F509" s="212" t="str">
        <f t="shared" si="51"/>
        <v>3 - Mobile Combustion</v>
      </c>
      <c r="G509" s="248" t="s">
        <v>307</v>
      </c>
      <c r="H509" s="212" t="s">
        <v>349</v>
      </c>
      <c r="I509" s="212"/>
      <c r="J509" s="212" t="s">
        <v>308</v>
      </c>
      <c r="K509" s="212" t="s">
        <v>345</v>
      </c>
      <c r="L509" s="212" t="s">
        <v>322</v>
      </c>
      <c r="M509" s="215" t="s">
        <v>579</v>
      </c>
      <c r="N509" s="289"/>
      <c r="O509" s="289"/>
      <c r="P509" s="289"/>
      <c r="Q509" s="289"/>
      <c r="R509" s="289"/>
      <c r="S509" s="232">
        <v>19.542120000000001</v>
      </c>
      <c r="T509" s="388">
        <v>27.022629999999999</v>
      </c>
      <c r="U509" s="212" t="s">
        <v>309</v>
      </c>
      <c r="V509" s="212" t="s">
        <v>557</v>
      </c>
      <c r="W509" s="218" t="s">
        <v>1193</v>
      </c>
      <c r="X509" s="73"/>
      <c r="Y509" s="389"/>
      <c r="Z509" s="67"/>
      <c r="AA509" s="67"/>
      <c r="AB509" s="67"/>
      <c r="AC509" s="67"/>
    </row>
    <row r="510" spans="2:29" ht="14.25" customHeight="1">
      <c r="B510" s="166"/>
      <c r="C510" s="173"/>
      <c r="D510" s="212">
        <v>3</v>
      </c>
      <c r="E510" s="212" t="s">
        <v>336</v>
      </c>
      <c r="F510" s="212" t="str">
        <f t="shared" si="51"/>
        <v>3 - Mobile Combustion</v>
      </c>
      <c r="G510" s="248" t="s">
        <v>307</v>
      </c>
      <c r="H510" s="212" t="s">
        <v>349</v>
      </c>
      <c r="I510" s="212"/>
      <c r="J510" s="212" t="s">
        <v>308</v>
      </c>
      <c r="K510" s="212" t="s">
        <v>203</v>
      </c>
      <c r="L510" s="212" t="s">
        <v>322</v>
      </c>
      <c r="M510" s="215" t="s">
        <v>580</v>
      </c>
      <c r="N510" s="289"/>
      <c r="O510" s="289"/>
      <c r="P510" s="289"/>
      <c r="Q510" s="289"/>
      <c r="R510" s="289"/>
      <c r="S510" s="232">
        <v>5.8880000000000002E-2</v>
      </c>
      <c r="T510" s="388">
        <v>5.9130000000000002E-2</v>
      </c>
      <c r="U510" s="212" t="s">
        <v>204</v>
      </c>
      <c r="V510" s="212" t="s">
        <v>550</v>
      </c>
      <c r="W510" s="218" t="s">
        <v>1262</v>
      </c>
      <c r="X510" s="73"/>
      <c r="Y510" s="389"/>
      <c r="Z510" s="67"/>
      <c r="AA510" s="67"/>
      <c r="AB510" s="67"/>
      <c r="AC510" s="67"/>
    </row>
    <row r="511" spans="2:29" ht="14.25" customHeight="1">
      <c r="B511" s="166"/>
      <c r="C511" s="173"/>
      <c r="D511" s="212">
        <v>3</v>
      </c>
      <c r="E511" s="212" t="s">
        <v>336</v>
      </c>
      <c r="F511" s="212" t="str">
        <f t="shared" si="51"/>
        <v>3 - Mobile Combustion</v>
      </c>
      <c r="G511" s="248" t="s">
        <v>307</v>
      </c>
      <c r="H511" s="212" t="s">
        <v>349</v>
      </c>
      <c r="I511" s="212"/>
      <c r="J511" s="212" t="s">
        <v>308</v>
      </c>
      <c r="K511" s="212" t="s">
        <v>207</v>
      </c>
      <c r="L511" s="212" t="s">
        <v>322</v>
      </c>
      <c r="M511" s="215" t="s">
        <v>581</v>
      </c>
      <c r="N511" s="289"/>
      <c r="O511" s="289"/>
      <c r="P511" s="289"/>
      <c r="Q511" s="289"/>
      <c r="R511" s="289"/>
      <c r="S511" s="232">
        <v>6.2239999999999997E-2</v>
      </c>
      <c r="T511" s="388">
        <v>6.2530000000000002E-2</v>
      </c>
      <c r="U511" s="212" t="s">
        <v>204</v>
      </c>
      <c r="V511" s="212" t="s">
        <v>562</v>
      </c>
      <c r="W511" s="218" t="s">
        <v>1264</v>
      </c>
      <c r="X511" s="73"/>
      <c r="Y511" s="389"/>
      <c r="Z511" s="67"/>
      <c r="AA511" s="67"/>
      <c r="AB511" s="67"/>
      <c r="AC511" s="67"/>
    </row>
    <row r="512" spans="2:29" ht="14.25" customHeight="1">
      <c r="B512" s="166"/>
      <c r="C512" s="173"/>
      <c r="D512" s="212">
        <v>3</v>
      </c>
      <c r="E512" s="212" t="s">
        <v>336</v>
      </c>
      <c r="F512" s="212" t="str">
        <f t="shared" si="51"/>
        <v>3 - Mobile Combustion</v>
      </c>
      <c r="G512" s="248" t="s">
        <v>307</v>
      </c>
      <c r="H512" s="212" t="s">
        <v>350</v>
      </c>
      <c r="I512" s="212"/>
      <c r="J512" s="212" t="s">
        <v>308</v>
      </c>
      <c r="K512" s="212" t="s">
        <v>345</v>
      </c>
      <c r="L512" s="212" t="s">
        <v>324</v>
      </c>
      <c r="M512" s="215" t="s">
        <v>582</v>
      </c>
      <c r="N512" s="289"/>
      <c r="O512" s="289"/>
      <c r="P512" s="289"/>
      <c r="Q512" s="289"/>
      <c r="R512" s="289"/>
      <c r="S512" s="232">
        <v>19.542120000000001</v>
      </c>
      <c r="T512" s="388">
        <v>27.022629999999999</v>
      </c>
      <c r="U512" s="212" t="s">
        <v>309</v>
      </c>
      <c r="V512" s="212" t="s">
        <v>557</v>
      </c>
      <c r="W512" s="218" t="s">
        <v>1193</v>
      </c>
      <c r="X512" s="73"/>
      <c r="Y512" s="389"/>
      <c r="Z512" s="67"/>
      <c r="AA512" s="67"/>
      <c r="AB512" s="67"/>
      <c r="AC512" s="67"/>
    </row>
    <row r="513" spans="2:29" ht="14.25" customHeight="1">
      <c r="B513" s="166"/>
      <c r="C513" s="173"/>
      <c r="D513" s="212">
        <v>3</v>
      </c>
      <c r="E513" s="212" t="s">
        <v>336</v>
      </c>
      <c r="F513" s="212" t="str">
        <f t="shared" si="51"/>
        <v>3 - Mobile Combustion</v>
      </c>
      <c r="G513" s="248" t="s">
        <v>307</v>
      </c>
      <c r="H513" s="212" t="s">
        <v>350</v>
      </c>
      <c r="I513" s="212"/>
      <c r="J513" s="212" t="s">
        <v>308</v>
      </c>
      <c r="K513" s="212" t="s">
        <v>207</v>
      </c>
      <c r="L513" s="212" t="s">
        <v>324</v>
      </c>
      <c r="M513" s="215" t="s">
        <v>583</v>
      </c>
      <c r="N513" s="289"/>
      <c r="O513" s="289"/>
      <c r="P513" s="289"/>
      <c r="Q513" s="289"/>
      <c r="R513" s="289"/>
      <c r="S513" s="232">
        <v>6.2239999999999997E-2</v>
      </c>
      <c r="T513" s="388">
        <v>6.2530000000000002E-2</v>
      </c>
      <c r="U513" s="212" t="s">
        <v>204</v>
      </c>
      <c r="V513" s="212" t="s">
        <v>562</v>
      </c>
      <c r="W513" s="218" t="s">
        <v>1264</v>
      </c>
      <c r="X513" s="73"/>
      <c r="Y513" s="389"/>
      <c r="Z513" s="67"/>
      <c r="AA513" s="67"/>
      <c r="AB513" s="67"/>
      <c r="AC513" s="67"/>
    </row>
    <row r="514" spans="2:29" ht="14.85" customHeight="1">
      <c r="B514" s="166"/>
      <c r="C514" s="173"/>
      <c r="D514" s="212">
        <v>3</v>
      </c>
      <c r="E514" s="212" t="s">
        <v>336</v>
      </c>
      <c r="F514" s="212" t="str">
        <f t="shared" si="51"/>
        <v>3 - Mobile Combustion</v>
      </c>
      <c r="G514" s="248" t="s">
        <v>307</v>
      </c>
      <c r="H514" s="212" t="s">
        <v>351</v>
      </c>
      <c r="I514" s="212"/>
      <c r="J514" s="212" t="s">
        <v>308</v>
      </c>
      <c r="K514" s="212" t="s">
        <v>345</v>
      </c>
      <c r="L514" s="212" t="s">
        <v>323</v>
      </c>
      <c r="M514" s="215" t="s">
        <v>584</v>
      </c>
      <c r="N514" s="289"/>
      <c r="O514" s="289"/>
      <c r="P514" s="289"/>
      <c r="Q514" s="289"/>
      <c r="R514" s="289"/>
      <c r="S514" s="232">
        <v>19.542120000000001</v>
      </c>
      <c r="T514" s="388">
        <v>27.022629999999999</v>
      </c>
      <c r="U514" s="212" t="s">
        <v>309</v>
      </c>
      <c r="V514" s="212" t="s">
        <v>557</v>
      </c>
      <c r="W514" s="218" t="s">
        <v>1193</v>
      </c>
      <c r="X514" s="73"/>
      <c r="Y514" s="389"/>
      <c r="Z514" s="67"/>
      <c r="AA514" s="67"/>
      <c r="AB514" s="67"/>
      <c r="AC514" s="67"/>
    </row>
    <row r="515" spans="2:29" ht="14.85" customHeight="1">
      <c r="B515" s="166"/>
      <c r="C515" s="173"/>
      <c r="D515" s="212">
        <v>3</v>
      </c>
      <c r="E515" s="212" t="s">
        <v>336</v>
      </c>
      <c r="F515" s="212" t="str">
        <f t="shared" si="51"/>
        <v>3 - Mobile Combustion</v>
      </c>
      <c r="G515" s="248" t="s">
        <v>307</v>
      </c>
      <c r="H515" s="212" t="s">
        <v>351</v>
      </c>
      <c r="I515" s="212"/>
      <c r="J515" s="212" t="s">
        <v>308</v>
      </c>
      <c r="K515" s="212" t="s">
        <v>203</v>
      </c>
      <c r="L515" s="212" t="s">
        <v>323</v>
      </c>
      <c r="M515" s="215" t="s">
        <v>585</v>
      </c>
      <c r="N515" s="289"/>
      <c r="O515" s="289"/>
      <c r="P515" s="289"/>
      <c r="Q515" s="289"/>
      <c r="R515" s="289"/>
      <c r="S515" s="232">
        <v>5.8880000000000002E-2</v>
      </c>
      <c r="T515" s="388">
        <v>5.9130000000000002E-2</v>
      </c>
      <c r="U515" s="212" t="s">
        <v>204</v>
      </c>
      <c r="V515" s="212" t="s">
        <v>550</v>
      </c>
      <c r="W515" s="218" t="s">
        <v>1262</v>
      </c>
      <c r="X515" s="73"/>
      <c r="Y515" s="389"/>
      <c r="Z515" s="67"/>
      <c r="AA515" s="67"/>
      <c r="AB515" s="67"/>
      <c r="AC515" s="67"/>
    </row>
    <row r="516" spans="2:29" ht="14.85" customHeight="1">
      <c r="B516" s="166"/>
      <c r="C516" s="173"/>
      <c r="D516" s="212">
        <v>3</v>
      </c>
      <c r="E516" s="212" t="s">
        <v>336</v>
      </c>
      <c r="F516" s="212" t="str">
        <f t="shared" si="51"/>
        <v>3 - Mobile Combustion</v>
      </c>
      <c r="G516" s="248" t="s">
        <v>307</v>
      </c>
      <c r="H516" s="212" t="s">
        <v>351</v>
      </c>
      <c r="I516" s="212"/>
      <c r="J516" s="212" t="s">
        <v>308</v>
      </c>
      <c r="K516" s="212" t="s">
        <v>207</v>
      </c>
      <c r="L516" s="212" t="s">
        <v>323</v>
      </c>
      <c r="M516" s="215" t="s">
        <v>586</v>
      </c>
      <c r="N516" s="289"/>
      <c r="O516" s="289"/>
      <c r="P516" s="289"/>
      <c r="Q516" s="289"/>
      <c r="R516" s="289"/>
      <c r="S516" s="232">
        <v>6.2239999999999997E-2</v>
      </c>
      <c r="T516" s="388">
        <v>6.2530000000000002E-2</v>
      </c>
      <c r="U516" s="212" t="s">
        <v>204</v>
      </c>
      <c r="V516" s="212" t="s">
        <v>562</v>
      </c>
      <c r="W516" s="218" t="s">
        <v>1264</v>
      </c>
      <c r="X516" s="73"/>
      <c r="Y516" s="389"/>
      <c r="Z516" s="67"/>
      <c r="AA516" s="67"/>
      <c r="AB516" s="67"/>
      <c r="AC516" s="67"/>
    </row>
    <row r="517" spans="2:29" ht="14.1" customHeight="1">
      <c r="B517" s="166"/>
      <c r="C517" s="173"/>
      <c r="D517" s="212">
        <v>3</v>
      </c>
      <c r="E517" s="212" t="s">
        <v>336</v>
      </c>
      <c r="F517" s="212" t="str">
        <f t="shared" si="51"/>
        <v>3 - Mobile Combustion</v>
      </c>
      <c r="G517" s="248" t="s">
        <v>307</v>
      </c>
      <c r="H517" s="212" t="s">
        <v>352</v>
      </c>
      <c r="I517" s="212"/>
      <c r="J517" s="212" t="s">
        <v>308</v>
      </c>
      <c r="K517" s="212" t="s">
        <v>353</v>
      </c>
      <c r="L517" s="212" t="s">
        <v>352</v>
      </c>
      <c r="M517" s="215" t="str">
        <f>K517&amp;L517</f>
        <v>AvGasAir traffic, Dom. &lt; 3000 ft.</v>
      </c>
      <c r="N517" s="289"/>
      <c r="O517" s="289"/>
      <c r="P517" s="289"/>
      <c r="Q517" s="289"/>
      <c r="R517" s="289"/>
      <c r="S517" s="232">
        <v>6.2239999999999997E-2</v>
      </c>
      <c r="T517" s="388">
        <v>6.2530000000000002E-2</v>
      </c>
      <c r="U517" s="212" t="s">
        <v>204</v>
      </c>
      <c r="V517" s="212" t="s">
        <v>587</v>
      </c>
      <c r="W517" s="218" t="s">
        <v>1265</v>
      </c>
      <c r="X517" s="73"/>
      <c r="Y517" s="389"/>
      <c r="Z517" s="67"/>
      <c r="AA517" s="67"/>
      <c r="AB517" s="67"/>
      <c r="AC517" s="67"/>
    </row>
    <row r="518" spans="2:29">
      <c r="B518" s="166"/>
      <c r="C518" s="173"/>
      <c r="D518" s="212">
        <v>3</v>
      </c>
      <c r="E518" s="212" t="s">
        <v>336</v>
      </c>
      <c r="F518" s="212" t="str">
        <f t="shared" si="51"/>
        <v>3 - Mobile Combustion</v>
      </c>
      <c r="G518" s="248" t="s">
        <v>307</v>
      </c>
      <c r="H518" s="212" t="s">
        <v>352</v>
      </c>
      <c r="I518" s="212"/>
      <c r="J518" s="212" t="s">
        <v>308</v>
      </c>
      <c r="K518" s="212" t="s">
        <v>354</v>
      </c>
      <c r="L518" s="212" t="s">
        <v>352</v>
      </c>
      <c r="M518" s="215" t="s">
        <v>588</v>
      </c>
      <c r="N518" s="289"/>
      <c r="O518" s="289"/>
      <c r="P518" s="289"/>
      <c r="Q518" s="289"/>
      <c r="R518" s="289"/>
      <c r="S518" s="232">
        <v>5.1299999999999998E-2</v>
      </c>
      <c r="T518" s="388">
        <v>5.1529999999999999E-2</v>
      </c>
      <c r="U518" s="212" t="s">
        <v>204</v>
      </c>
      <c r="V518" s="212" t="s">
        <v>589</v>
      </c>
      <c r="W518" s="218" t="s">
        <v>1266</v>
      </c>
      <c r="X518" s="73"/>
      <c r="Y518" s="389"/>
      <c r="Z518" s="67"/>
      <c r="AA518" s="67"/>
      <c r="AB518" s="67"/>
      <c r="AC518" s="67"/>
    </row>
    <row r="519" spans="2:29">
      <c r="B519" s="166"/>
      <c r="C519" s="173"/>
      <c r="D519" s="212">
        <v>3</v>
      </c>
      <c r="E519" s="212" t="s">
        <v>336</v>
      </c>
      <c r="F519" s="212" t="str">
        <f t="shared" si="51"/>
        <v>3 - Mobile Combustion</v>
      </c>
      <c r="G519" s="248" t="s">
        <v>307</v>
      </c>
      <c r="H519" s="212" t="s">
        <v>355</v>
      </c>
      <c r="I519" s="212"/>
      <c r="J519" s="212" t="s">
        <v>308</v>
      </c>
      <c r="K519" s="212" t="s">
        <v>354</v>
      </c>
      <c r="L519" s="212" t="s">
        <v>355</v>
      </c>
      <c r="M519" s="215" t="s">
        <v>590</v>
      </c>
      <c r="N519" s="289"/>
      <c r="O519" s="289"/>
      <c r="P519" s="289"/>
      <c r="Q519" s="289"/>
      <c r="R519" s="289"/>
      <c r="S519" s="232">
        <v>5.1299999999999998E-2</v>
      </c>
      <c r="T519" s="388">
        <v>5.1529999999999999E-2</v>
      </c>
      <c r="U519" s="212" t="s">
        <v>204</v>
      </c>
      <c r="V519" s="212" t="s">
        <v>589</v>
      </c>
      <c r="W519" s="218" t="s">
        <v>1266</v>
      </c>
      <c r="X519" s="73"/>
      <c r="Y519" s="389"/>
      <c r="Z519" s="67"/>
      <c r="AA519" s="67"/>
      <c r="AB519" s="67"/>
      <c r="AC519" s="67"/>
    </row>
    <row r="520" spans="2:29">
      <c r="B520" s="166"/>
      <c r="C520" s="173"/>
      <c r="D520" s="212">
        <v>3</v>
      </c>
      <c r="E520" s="212" t="s">
        <v>336</v>
      </c>
      <c r="F520" s="212" t="str">
        <f t="shared" si="51"/>
        <v>3 - Mobile Combustion</v>
      </c>
      <c r="G520" s="248" t="s">
        <v>307</v>
      </c>
      <c r="H520" s="212" t="s">
        <v>356</v>
      </c>
      <c r="I520" s="212"/>
      <c r="J520" s="212" t="s">
        <v>308</v>
      </c>
      <c r="K520" s="212" t="s">
        <v>354</v>
      </c>
      <c r="L520" s="212" t="s">
        <v>356</v>
      </c>
      <c r="M520" s="215" t="s">
        <v>591</v>
      </c>
      <c r="N520" s="289"/>
      <c r="O520" s="289"/>
      <c r="P520" s="289"/>
      <c r="Q520" s="289"/>
      <c r="R520" s="289"/>
      <c r="S520" s="232">
        <v>5.1299999999999998E-2</v>
      </c>
      <c r="T520" s="388">
        <v>5.1529999999999999E-2</v>
      </c>
      <c r="U520" s="212" t="s">
        <v>204</v>
      </c>
      <c r="V520" s="212" t="s">
        <v>589</v>
      </c>
      <c r="W520" s="218" t="s">
        <v>1266</v>
      </c>
      <c r="X520" s="73"/>
      <c r="Y520" s="389"/>
      <c r="Z520" s="67"/>
      <c r="AA520" s="67"/>
      <c r="AB520" s="67"/>
      <c r="AC520" s="67"/>
    </row>
    <row r="521" spans="2:29">
      <c r="B521" s="166"/>
      <c r="C521" s="173"/>
      <c r="D521" s="212">
        <v>3</v>
      </c>
      <c r="E521" s="212" t="s">
        <v>336</v>
      </c>
      <c r="F521" s="212" t="str">
        <f t="shared" si="51"/>
        <v>3 - Mobile Combustion</v>
      </c>
      <c r="G521" s="248" t="s">
        <v>307</v>
      </c>
      <c r="H521" s="212" t="s">
        <v>357</v>
      </c>
      <c r="I521" s="212"/>
      <c r="J521" s="212" t="s">
        <v>308</v>
      </c>
      <c r="K521" s="212" t="s">
        <v>354</v>
      </c>
      <c r="L521" s="212" t="s">
        <v>357</v>
      </c>
      <c r="M521" s="215" t="s">
        <v>592</v>
      </c>
      <c r="N521" s="289"/>
      <c r="O521" s="289"/>
      <c r="P521" s="289"/>
      <c r="Q521" s="289"/>
      <c r="R521" s="289"/>
      <c r="S521" s="232">
        <v>5.1299999999999998E-2</v>
      </c>
      <c r="T521" s="388">
        <v>5.1529999999999999E-2</v>
      </c>
      <c r="U521" s="212" t="s">
        <v>204</v>
      </c>
      <c r="V521" s="212" t="s">
        <v>589</v>
      </c>
      <c r="W521" s="218" t="s">
        <v>1266</v>
      </c>
      <c r="X521" s="73"/>
      <c r="Y521" s="389"/>
      <c r="Z521" s="67"/>
      <c r="AA521" s="67"/>
      <c r="AB521" s="67"/>
      <c r="AC521" s="67"/>
    </row>
    <row r="522" spans="2:29">
      <c r="B522" s="166"/>
      <c r="C522" s="173"/>
      <c r="D522" s="212">
        <v>3</v>
      </c>
      <c r="E522" s="212" t="s">
        <v>336</v>
      </c>
      <c r="F522" s="212" t="str">
        <f t="shared" si="51"/>
        <v>3 - Mobile Combustion</v>
      </c>
      <c r="G522" s="248" t="s">
        <v>307</v>
      </c>
      <c r="H522" s="212" t="s">
        <v>266</v>
      </c>
      <c r="I522" s="212"/>
      <c r="J522" s="212" t="s">
        <v>308</v>
      </c>
      <c r="K522" s="212" t="s">
        <v>358</v>
      </c>
      <c r="L522" s="212" t="s">
        <v>356</v>
      </c>
      <c r="M522" s="215" t="s">
        <v>593</v>
      </c>
      <c r="N522" s="289"/>
      <c r="O522" s="289"/>
      <c r="P522" s="289"/>
      <c r="Q522" s="289"/>
      <c r="R522" s="289"/>
      <c r="S522" s="232">
        <v>10.25</v>
      </c>
      <c r="T522" s="388">
        <v>8.11</v>
      </c>
      <c r="U522" s="212" t="s">
        <v>309</v>
      </c>
      <c r="V522" s="212" t="s">
        <v>594</v>
      </c>
      <c r="W522" s="218" t="s">
        <v>1195</v>
      </c>
      <c r="X522" s="73"/>
      <c r="Y522" s="389"/>
      <c r="Z522" s="67"/>
      <c r="AA522" s="67"/>
      <c r="AB522" s="67"/>
      <c r="AC522" s="67"/>
    </row>
    <row r="523" spans="2:29">
      <c r="B523" s="166"/>
      <c r="C523" s="173"/>
      <c r="D523" s="212">
        <v>3</v>
      </c>
      <c r="E523" s="212" t="s">
        <v>336</v>
      </c>
      <c r="F523" s="212" t="str">
        <f t="shared" si="51"/>
        <v>3 - Mobile Combustion</v>
      </c>
      <c r="G523" s="248" t="s">
        <v>307</v>
      </c>
      <c r="H523" s="212" t="s">
        <v>266</v>
      </c>
      <c r="I523" s="212"/>
      <c r="J523" s="212" t="s">
        <v>308</v>
      </c>
      <c r="K523" s="212" t="s">
        <v>358</v>
      </c>
      <c r="L523" s="212" t="s">
        <v>356</v>
      </c>
      <c r="M523" s="215" t="s">
        <v>593</v>
      </c>
      <c r="N523" s="289"/>
      <c r="O523" s="289"/>
      <c r="P523" s="289"/>
      <c r="Q523" s="289"/>
      <c r="R523" s="289"/>
      <c r="S523" s="232">
        <v>10.25</v>
      </c>
      <c r="T523" s="388">
        <v>8.11</v>
      </c>
      <c r="U523" s="212" t="s">
        <v>309</v>
      </c>
      <c r="V523" s="212" t="s">
        <v>594</v>
      </c>
      <c r="W523" s="218" t="s">
        <v>1195</v>
      </c>
      <c r="X523" s="73"/>
      <c r="Y523" s="389"/>
      <c r="Z523" s="67"/>
      <c r="AA523" s="67"/>
      <c r="AB523" s="67"/>
      <c r="AC523" s="67"/>
    </row>
    <row r="524" spans="2:29">
      <c r="B524" s="166"/>
      <c r="C524" s="173"/>
      <c r="D524" s="212">
        <v>3</v>
      </c>
      <c r="E524" s="212" t="s">
        <v>336</v>
      </c>
      <c r="F524" s="212" t="str">
        <f t="shared" si="51"/>
        <v>3 - Mobile Combustion</v>
      </c>
      <c r="G524" s="248" t="s">
        <v>307</v>
      </c>
      <c r="H524" s="212" t="s">
        <v>266</v>
      </c>
      <c r="I524" s="212"/>
      <c r="J524" s="212" t="s">
        <v>308</v>
      </c>
      <c r="K524" s="212" t="s">
        <v>358</v>
      </c>
      <c r="L524" s="212" t="s">
        <v>356</v>
      </c>
      <c r="M524" s="215" t="s">
        <v>593</v>
      </c>
      <c r="N524" s="289"/>
      <c r="O524" s="289"/>
      <c r="P524" s="289"/>
      <c r="Q524" s="289"/>
      <c r="R524" s="289"/>
      <c r="S524" s="232">
        <v>10.25</v>
      </c>
      <c r="T524" s="388">
        <v>8.11</v>
      </c>
      <c r="U524" s="212" t="s">
        <v>309</v>
      </c>
      <c r="V524" s="212" t="s">
        <v>594</v>
      </c>
      <c r="W524" s="218" t="s">
        <v>1195</v>
      </c>
      <c r="X524" s="73"/>
      <c r="Y524" s="389"/>
      <c r="Z524" s="67"/>
      <c r="AA524" s="67"/>
      <c r="AB524" s="67"/>
      <c r="AC524" s="67"/>
    </row>
    <row r="525" spans="2:29">
      <c r="B525" s="166"/>
      <c r="C525" s="173"/>
      <c r="D525" s="212">
        <v>3</v>
      </c>
      <c r="E525" s="212" t="s">
        <v>336</v>
      </c>
      <c r="F525" s="212" t="str">
        <f t="shared" si="51"/>
        <v>3 - Mobile Combustion</v>
      </c>
      <c r="G525" s="248" t="s">
        <v>307</v>
      </c>
      <c r="H525" s="212" t="s">
        <v>266</v>
      </c>
      <c r="I525" s="212"/>
      <c r="J525" s="212" t="s">
        <v>308</v>
      </c>
      <c r="K525" s="212" t="s">
        <v>358</v>
      </c>
      <c r="L525" s="212" t="s">
        <v>357</v>
      </c>
      <c r="M525" s="215" t="s">
        <v>595</v>
      </c>
      <c r="N525" s="289"/>
      <c r="O525" s="289"/>
      <c r="P525" s="289"/>
      <c r="Q525" s="289"/>
      <c r="R525" s="289"/>
      <c r="S525" s="232">
        <v>10.25</v>
      </c>
      <c r="T525" s="388">
        <v>8.11</v>
      </c>
      <c r="U525" s="212" t="s">
        <v>309</v>
      </c>
      <c r="V525" s="212" t="s">
        <v>594</v>
      </c>
      <c r="W525" s="218" t="s">
        <v>1195</v>
      </c>
      <c r="X525" s="73"/>
      <c r="Y525" s="389"/>
      <c r="Z525" s="67"/>
      <c r="AA525" s="67"/>
      <c r="AB525" s="67"/>
      <c r="AC525" s="67"/>
    </row>
    <row r="526" spans="2:29">
      <c r="B526" s="166"/>
      <c r="C526" s="173"/>
      <c r="D526" s="212">
        <v>3</v>
      </c>
      <c r="E526" s="212" t="s">
        <v>336</v>
      </c>
      <c r="F526" s="212" t="str">
        <f t="shared" si="51"/>
        <v>3 - Mobile Combustion</v>
      </c>
      <c r="G526" s="248" t="s">
        <v>307</v>
      </c>
      <c r="H526" s="212" t="s">
        <v>266</v>
      </c>
      <c r="I526" s="212"/>
      <c r="J526" s="212" t="s">
        <v>308</v>
      </c>
      <c r="K526" s="212" t="s">
        <v>358</v>
      </c>
      <c r="L526" s="212" t="s">
        <v>357</v>
      </c>
      <c r="M526" s="215" t="s">
        <v>595</v>
      </c>
      <c r="N526" s="289"/>
      <c r="O526" s="289"/>
      <c r="P526" s="289"/>
      <c r="Q526" s="289"/>
      <c r="R526" s="289"/>
      <c r="S526" s="232">
        <v>10.25</v>
      </c>
      <c r="T526" s="388">
        <v>8.11</v>
      </c>
      <c r="U526" s="212" t="s">
        <v>309</v>
      </c>
      <c r="V526" s="212" t="s">
        <v>594</v>
      </c>
      <c r="W526" s="218" t="s">
        <v>1195</v>
      </c>
      <c r="X526" s="73"/>
      <c r="Y526" s="389"/>
      <c r="Z526" s="67"/>
      <c r="AA526" s="67"/>
      <c r="AB526" s="67"/>
      <c r="AC526" s="67"/>
    </row>
    <row r="527" spans="2:29">
      <c r="B527" s="166"/>
      <c r="C527" s="173"/>
      <c r="D527" s="212">
        <v>3</v>
      </c>
      <c r="E527" s="212" t="s">
        <v>336</v>
      </c>
      <c r="F527" s="212" t="str">
        <f t="shared" si="51"/>
        <v>3 - Mobile Combustion</v>
      </c>
      <c r="G527" s="248" t="s">
        <v>307</v>
      </c>
      <c r="H527" s="212" t="s">
        <v>266</v>
      </c>
      <c r="I527" s="212"/>
      <c r="J527" s="212" t="s">
        <v>308</v>
      </c>
      <c r="K527" s="212" t="s">
        <v>358</v>
      </c>
      <c r="L527" s="212" t="s">
        <v>357</v>
      </c>
      <c r="M527" s="215" t="s">
        <v>595</v>
      </c>
      <c r="N527" s="289"/>
      <c r="O527" s="289"/>
      <c r="P527" s="289"/>
      <c r="Q527" s="289"/>
      <c r="R527" s="289"/>
      <c r="S527" s="232">
        <v>10.25</v>
      </c>
      <c r="T527" s="388">
        <v>8.11</v>
      </c>
      <c r="U527" s="212" t="s">
        <v>309</v>
      </c>
      <c r="V527" s="212" t="s">
        <v>594</v>
      </c>
      <c r="W527" s="218" t="s">
        <v>1195</v>
      </c>
      <c r="X527" s="73"/>
      <c r="Y527" s="389"/>
      <c r="Z527" s="67"/>
      <c r="AA527" s="67"/>
      <c r="AB527" s="67"/>
      <c r="AC527" s="67"/>
    </row>
    <row r="528" spans="2:29">
      <c r="B528" s="166"/>
      <c r="C528" s="173"/>
      <c r="D528" s="212">
        <v>3</v>
      </c>
      <c r="E528" s="212" t="s">
        <v>336</v>
      </c>
      <c r="F528" s="212" t="str">
        <f t="shared" si="51"/>
        <v>3 - Mobile Combustion</v>
      </c>
      <c r="G528" s="248" t="s">
        <v>307</v>
      </c>
      <c r="H528" s="212" t="s">
        <v>257</v>
      </c>
      <c r="I528" s="212"/>
      <c r="J528" s="212" t="s">
        <v>308</v>
      </c>
      <c r="K528" s="212" t="s">
        <v>248</v>
      </c>
      <c r="L528" s="212" t="s">
        <v>247</v>
      </c>
      <c r="M528" s="215" t="s">
        <v>596</v>
      </c>
      <c r="N528" s="289"/>
      <c r="O528" s="289"/>
      <c r="P528" s="289"/>
      <c r="Q528" s="289"/>
      <c r="R528" s="289"/>
      <c r="S528" s="232">
        <v>5.8880000000000002E-2</v>
      </c>
      <c r="T528" s="388">
        <v>5.9130000000000002E-2</v>
      </c>
      <c r="U528" s="212" t="s">
        <v>204</v>
      </c>
      <c r="V528" s="212" t="s">
        <v>597</v>
      </c>
      <c r="W528" s="218" t="s">
        <v>1267</v>
      </c>
      <c r="X528" s="73"/>
      <c r="Y528" s="389"/>
      <c r="Z528" s="67"/>
      <c r="AA528" s="67"/>
      <c r="AB528" s="67"/>
      <c r="AC528" s="67"/>
    </row>
    <row r="529" spans="2:29">
      <c r="B529" s="166"/>
      <c r="C529" s="173"/>
      <c r="D529" s="212">
        <v>3</v>
      </c>
      <c r="E529" s="212" t="s">
        <v>336</v>
      </c>
      <c r="F529" s="212" t="str">
        <f t="shared" si="51"/>
        <v>3 - Mobile Combustion</v>
      </c>
      <c r="G529" s="248" t="s">
        <v>307</v>
      </c>
      <c r="H529" s="212" t="s">
        <v>257</v>
      </c>
      <c r="I529" s="212"/>
      <c r="J529" s="212" t="s">
        <v>308</v>
      </c>
      <c r="K529" s="212" t="s">
        <v>248</v>
      </c>
      <c r="L529" s="212" t="s">
        <v>247</v>
      </c>
      <c r="M529" s="215" t="s">
        <v>596</v>
      </c>
      <c r="N529" s="289"/>
      <c r="O529" s="289"/>
      <c r="P529" s="289"/>
      <c r="Q529" s="289"/>
      <c r="R529" s="289"/>
      <c r="S529" s="232">
        <v>5.8880000000000002E-2</v>
      </c>
      <c r="T529" s="388">
        <v>5.9130000000000002E-2</v>
      </c>
      <c r="U529" s="212" t="s">
        <v>204</v>
      </c>
      <c r="V529" s="212" t="s">
        <v>597</v>
      </c>
      <c r="W529" s="218" t="s">
        <v>1267</v>
      </c>
      <c r="X529" s="73"/>
      <c r="Y529" s="389"/>
      <c r="Z529" s="67"/>
      <c r="AA529" s="67"/>
      <c r="AB529" s="67"/>
      <c r="AC529" s="67"/>
    </row>
    <row r="530" spans="2:29">
      <c r="B530" s="166"/>
      <c r="C530" s="173"/>
      <c r="D530" s="212">
        <v>3</v>
      </c>
      <c r="E530" s="212" t="s">
        <v>336</v>
      </c>
      <c r="F530" s="212" t="str">
        <f t="shared" si="51"/>
        <v>3 - Mobile Combustion</v>
      </c>
      <c r="G530" s="248" t="s">
        <v>307</v>
      </c>
      <c r="H530" s="212" t="s">
        <v>257</v>
      </c>
      <c r="I530" s="212"/>
      <c r="J530" s="212" t="s">
        <v>308</v>
      </c>
      <c r="K530" s="212" t="s">
        <v>248</v>
      </c>
      <c r="L530" s="212" t="s">
        <v>247</v>
      </c>
      <c r="M530" s="215" t="s">
        <v>596</v>
      </c>
      <c r="N530" s="289"/>
      <c r="O530" s="289"/>
      <c r="P530" s="289"/>
      <c r="Q530" s="289"/>
      <c r="R530" s="289"/>
      <c r="S530" s="232">
        <v>5.8880000000000002E-2</v>
      </c>
      <c r="T530" s="388">
        <v>5.9130000000000002E-2</v>
      </c>
      <c r="U530" s="212" t="s">
        <v>204</v>
      </c>
      <c r="V530" s="212" t="s">
        <v>597</v>
      </c>
      <c r="W530" s="218" t="s">
        <v>1267</v>
      </c>
      <c r="X530" s="73"/>
      <c r="Y530" s="389"/>
      <c r="Z530" s="67"/>
      <c r="AA530" s="67"/>
      <c r="AB530" s="67"/>
      <c r="AC530" s="67"/>
    </row>
    <row r="531" spans="2:29">
      <c r="B531" s="166"/>
      <c r="C531" s="173"/>
      <c r="D531" s="212">
        <v>3</v>
      </c>
      <c r="E531" s="212" t="s">
        <v>336</v>
      </c>
      <c r="F531" s="212" t="str">
        <f t="shared" si="51"/>
        <v>3 - Mobile Combustion</v>
      </c>
      <c r="G531" s="248" t="s">
        <v>307</v>
      </c>
      <c r="H531" s="212" t="s">
        <v>257</v>
      </c>
      <c r="I531" s="212"/>
      <c r="J531" s="212" t="s">
        <v>308</v>
      </c>
      <c r="K531" s="212" t="s">
        <v>248</v>
      </c>
      <c r="L531" s="212" t="s">
        <v>247</v>
      </c>
      <c r="M531" s="215" t="s">
        <v>596</v>
      </c>
      <c r="N531" s="289"/>
      <c r="O531" s="289"/>
      <c r="P531" s="289"/>
      <c r="Q531" s="289"/>
      <c r="R531" s="289"/>
      <c r="S531" s="232">
        <v>5.8880000000000002E-2</v>
      </c>
      <c r="T531" s="388">
        <v>5.9130000000000002E-2</v>
      </c>
      <c r="U531" s="212" t="s">
        <v>204</v>
      </c>
      <c r="V531" s="212" t="s">
        <v>597</v>
      </c>
      <c r="W531" s="218" t="s">
        <v>1267</v>
      </c>
      <c r="X531" s="73"/>
      <c r="Y531" s="389"/>
      <c r="Z531" s="67"/>
      <c r="AA531" s="67"/>
      <c r="AB531" s="67"/>
      <c r="AC531" s="67"/>
    </row>
    <row r="532" spans="2:29">
      <c r="B532" s="166"/>
      <c r="C532" s="173"/>
      <c r="D532" s="212">
        <v>3</v>
      </c>
      <c r="E532" s="212" t="s">
        <v>336</v>
      </c>
      <c r="F532" s="212" t="str">
        <f t="shared" si="51"/>
        <v>3 - Mobile Combustion</v>
      </c>
      <c r="G532" s="248" t="s">
        <v>307</v>
      </c>
      <c r="H532" s="212" t="s">
        <v>257</v>
      </c>
      <c r="I532" s="212"/>
      <c r="J532" s="212" t="s">
        <v>308</v>
      </c>
      <c r="K532" s="212" t="s">
        <v>248</v>
      </c>
      <c r="L532" s="212" t="s">
        <v>247</v>
      </c>
      <c r="M532" s="215" t="s">
        <v>596</v>
      </c>
      <c r="N532" s="289"/>
      <c r="O532" s="289"/>
      <c r="P532" s="289"/>
      <c r="Q532" s="289"/>
      <c r="R532" s="289"/>
      <c r="S532" s="232">
        <v>5.8880000000000002E-2</v>
      </c>
      <c r="T532" s="388">
        <v>5.9130000000000002E-2</v>
      </c>
      <c r="U532" s="212" t="s">
        <v>204</v>
      </c>
      <c r="V532" s="212" t="s">
        <v>597</v>
      </c>
      <c r="W532" s="218" t="s">
        <v>1267</v>
      </c>
      <c r="X532" s="73"/>
      <c r="Y532" s="389"/>
      <c r="Z532" s="67"/>
      <c r="AA532" s="67"/>
      <c r="AB532" s="67"/>
      <c r="AC532" s="67"/>
    </row>
    <row r="533" spans="2:29">
      <c r="B533" s="166"/>
      <c r="C533" s="173"/>
      <c r="D533" s="212">
        <v>3</v>
      </c>
      <c r="E533" s="212" t="s">
        <v>336</v>
      </c>
      <c r="F533" s="212" t="str">
        <f t="shared" si="51"/>
        <v>3 - Mobile Combustion</v>
      </c>
      <c r="G533" s="248" t="s">
        <v>307</v>
      </c>
      <c r="H533" s="212" t="s">
        <v>257</v>
      </c>
      <c r="I533" s="212"/>
      <c r="J533" s="212" t="s">
        <v>308</v>
      </c>
      <c r="K533" s="212" t="s">
        <v>248</v>
      </c>
      <c r="L533" s="212" t="s">
        <v>342</v>
      </c>
      <c r="M533" s="215" t="s">
        <v>598</v>
      </c>
      <c r="N533" s="289"/>
      <c r="O533" s="289"/>
      <c r="P533" s="289"/>
      <c r="Q533" s="289"/>
      <c r="R533" s="289"/>
      <c r="S533" s="232">
        <v>5.8880000000000002E-2</v>
      </c>
      <c r="T533" s="388">
        <v>5.9130000000000002E-2</v>
      </c>
      <c r="U533" s="212" t="s">
        <v>204</v>
      </c>
      <c r="V533" s="212" t="s">
        <v>597</v>
      </c>
      <c r="W533" s="218" t="s">
        <v>1267</v>
      </c>
      <c r="X533" s="73"/>
      <c r="Y533" s="389"/>
      <c r="Z533" s="67"/>
      <c r="AA533" s="67"/>
      <c r="AB533" s="67"/>
      <c r="AC533" s="67"/>
    </row>
    <row r="534" spans="2:29">
      <c r="B534" s="166"/>
      <c r="C534" s="173"/>
      <c r="D534" s="212">
        <v>3</v>
      </c>
      <c r="E534" s="212" t="s">
        <v>336</v>
      </c>
      <c r="F534" s="212" t="str">
        <f t="shared" si="51"/>
        <v>3 - Mobile Combustion</v>
      </c>
      <c r="G534" s="248" t="s">
        <v>307</v>
      </c>
      <c r="H534" s="212" t="s">
        <v>257</v>
      </c>
      <c r="I534" s="212"/>
      <c r="J534" s="212" t="s">
        <v>308</v>
      </c>
      <c r="K534" s="212" t="s">
        <v>248</v>
      </c>
      <c r="L534" s="212" t="s">
        <v>342</v>
      </c>
      <c r="M534" s="215" t="s">
        <v>598</v>
      </c>
      <c r="N534" s="289"/>
      <c r="O534" s="289"/>
      <c r="P534" s="289"/>
      <c r="Q534" s="289"/>
      <c r="R534" s="289"/>
      <c r="S534" s="232">
        <v>5.8880000000000002E-2</v>
      </c>
      <c r="T534" s="388">
        <v>5.9130000000000002E-2</v>
      </c>
      <c r="U534" s="212" t="s">
        <v>204</v>
      </c>
      <c r="V534" s="212" t="s">
        <v>597</v>
      </c>
      <c r="W534" s="218" t="s">
        <v>1267</v>
      </c>
      <c r="X534" s="73"/>
      <c r="Y534" s="389"/>
      <c r="Z534" s="67"/>
      <c r="AA534" s="67"/>
      <c r="AB534" s="67"/>
      <c r="AC534" s="67"/>
    </row>
    <row r="535" spans="2:29">
      <c r="B535" s="166"/>
      <c r="C535" s="173"/>
      <c r="D535" s="212">
        <v>3</v>
      </c>
      <c r="E535" s="212" t="s">
        <v>336</v>
      </c>
      <c r="F535" s="212" t="str">
        <f t="shared" si="51"/>
        <v>3 - Mobile Combustion</v>
      </c>
      <c r="G535" s="248" t="s">
        <v>307</v>
      </c>
      <c r="H535" s="212" t="s">
        <v>257</v>
      </c>
      <c r="I535" s="212"/>
      <c r="J535" s="212" t="s">
        <v>308</v>
      </c>
      <c r="K535" s="212" t="s">
        <v>248</v>
      </c>
      <c r="L535" s="212" t="s">
        <v>342</v>
      </c>
      <c r="M535" s="215" t="s">
        <v>598</v>
      </c>
      <c r="N535" s="289"/>
      <c r="O535" s="289"/>
      <c r="P535" s="289"/>
      <c r="Q535" s="289"/>
      <c r="R535" s="289"/>
      <c r="S535" s="232">
        <v>5.8880000000000002E-2</v>
      </c>
      <c r="T535" s="388">
        <v>5.9130000000000002E-2</v>
      </c>
      <c r="U535" s="212" t="s">
        <v>204</v>
      </c>
      <c r="V535" s="212" t="s">
        <v>597</v>
      </c>
      <c r="W535" s="218" t="s">
        <v>1267</v>
      </c>
      <c r="X535" s="73"/>
      <c r="Y535" s="389"/>
      <c r="Z535" s="67"/>
      <c r="AA535" s="67"/>
      <c r="AB535" s="67"/>
      <c r="AC535" s="67"/>
    </row>
    <row r="536" spans="2:29">
      <c r="B536" s="166"/>
      <c r="C536" s="173"/>
      <c r="D536" s="212">
        <v>3</v>
      </c>
      <c r="E536" s="212" t="s">
        <v>336</v>
      </c>
      <c r="F536" s="212" t="str">
        <f t="shared" si="51"/>
        <v>3 - Mobile Combustion</v>
      </c>
      <c r="G536" s="248" t="s">
        <v>307</v>
      </c>
      <c r="H536" s="212" t="s">
        <v>257</v>
      </c>
      <c r="I536" s="212"/>
      <c r="J536" s="212" t="s">
        <v>308</v>
      </c>
      <c r="K536" s="212" t="s">
        <v>248</v>
      </c>
      <c r="L536" s="212" t="s">
        <v>342</v>
      </c>
      <c r="M536" s="215" t="s">
        <v>598</v>
      </c>
      <c r="N536" s="289"/>
      <c r="O536" s="289"/>
      <c r="P536" s="289"/>
      <c r="Q536" s="289"/>
      <c r="R536" s="289"/>
      <c r="S536" s="232">
        <v>5.8880000000000002E-2</v>
      </c>
      <c r="T536" s="388">
        <v>5.9130000000000002E-2</v>
      </c>
      <c r="U536" s="212" t="s">
        <v>204</v>
      </c>
      <c r="V536" s="212" t="s">
        <v>597</v>
      </c>
      <c r="W536" s="218" t="s">
        <v>1267</v>
      </c>
      <c r="X536" s="73"/>
      <c r="Y536" s="389"/>
      <c r="Z536" s="67"/>
      <c r="AA536" s="67"/>
      <c r="AB536" s="67"/>
      <c r="AC536" s="67"/>
    </row>
    <row r="537" spans="2:29">
      <c r="B537" s="166"/>
      <c r="C537" s="173"/>
      <c r="D537" s="212">
        <v>3</v>
      </c>
      <c r="E537" s="212" t="s">
        <v>336</v>
      </c>
      <c r="F537" s="212" t="str">
        <f t="shared" si="51"/>
        <v>3 - Mobile Combustion</v>
      </c>
      <c r="G537" s="248" t="s">
        <v>307</v>
      </c>
      <c r="H537" s="212" t="s">
        <v>257</v>
      </c>
      <c r="I537" s="212"/>
      <c r="J537" s="212" t="s">
        <v>308</v>
      </c>
      <c r="K537" s="212" t="s">
        <v>248</v>
      </c>
      <c r="L537" s="212" t="s">
        <v>342</v>
      </c>
      <c r="M537" s="215" t="s">
        <v>598</v>
      </c>
      <c r="N537" s="289"/>
      <c r="O537" s="289"/>
      <c r="P537" s="289"/>
      <c r="Q537" s="289"/>
      <c r="R537" s="289"/>
      <c r="S537" s="232">
        <v>5.8880000000000002E-2</v>
      </c>
      <c r="T537" s="388">
        <v>5.9130000000000002E-2</v>
      </c>
      <c r="U537" s="212" t="s">
        <v>204</v>
      </c>
      <c r="V537" s="212" t="s">
        <v>597</v>
      </c>
      <c r="W537" s="218" t="s">
        <v>1267</v>
      </c>
      <c r="X537" s="73"/>
      <c r="Y537" s="389"/>
      <c r="Z537" s="67"/>
      <c r="AA537" s="67"/>
      <c r="AB537" s="67"/>
      <c r="AC537" s="67"/>
    </row>
    <row r="538" spans="2:29">
      <c r="B538" s="166"/>
      <c r="C538" s="173"/>
      <c r="D538" s="212">
        <v>3</v>
      </c>
      <c r="E538" s="212" t="s">
        <v>336</v>
      </c>
      <c r="F538" s="212" t="str">
        <f t="shared" si="51"/>
        <v>3 - Mobile Combustion</v>
      </c>
      <c r="G538" s="248" t="s">
        <v>307</v>
      </c>
      <c r="H538" s="212" t="s">
        <v>257</v>
      </c>
      <c r="I538" s="212"/>
      <c r="J538" s="212" t="s">
        <v>308</v>
      </c>
      <c r="K538" s="212" t="s">
        <v>248</v>
      </c>
      <c r="L538" s="212" t="s">
        <v>340</v>
      </c>
      <c r="M538" s="215" t="s">
        <v>599</v>
      </c>
      <c r="N538" s="289"/>
      <c r="O538" s="289"/>
      <c r="P538" s="289"/>
      <c r="Q538" s="289"/>
      <c r="R538" s="289"/>
      <c r="S538" s="232">
        <v>5.8880000000000002E-2</v>
      </c>
      <c r="T538" s="388">
        <v>5.9130000000000002E-2</v>
      </c>
      <c r="U538" s="212" t="s">
        <v>204</v>
      </c>
      <c r="V538" s="212" t="s">
        <v>597</v>
      </c>
      <c r="W538" s="218" t="s">
        <v>1267</v>
      </c>
      <c r="X538" s="73"/>
      <c r="Y538" s="389"/>
      <c r="Z538" s="67"/>
      <c r="AA538" s="67"/>
      <c r="AB538" s="67"/>
      <c r="AC538" s="67"/>
    </row>
    <row r="539" spans="2:29">
      <c r="B539" s="166"/>
      <c r="C539" s="173"/>
      <c r="D539" s="212">
        <v>3</v>
      </c>
      <c r="E539" s="212" t="s">
        <v>336</v>
      </c>
      <c r="F539" s="212" t="str">
        <f t="shared" si="51"/>
        <v>3 - Mobile Combustion</v>
      </c>
      <c r="G539" s="248" t="s">
        <v>307</v>
      </c>
      <c r="H539" s="212" t="s">
        <v>257</v>
      </c>
      <c r="I539" s="212"/>
      <c r="J539" s="212" t="s">
        <v>308</v>
      </c>
      <c r="K539" s="212" t="s">
        <v>248</v>
      </c>
      <c r="L539" s="212" t="s">
        <v>340</v>
      </c>
      <c r="M539" s="215" t="s">
        <v>599</v>
      </c>
      <c r="N539" s="289"/>
      <c r="O539" s="289"/>
      <c r="P539" s="289"/>
      <c r="Q539" s="289"/>
      <c r="R539" s="289"/>
      <c r="S539" s="232">
        <v>5.8880000000000002E-2</v>
      </c>
      <c r="T539" s="388">
        <v>5.9130000000000002E-2</v>
      </c>
      <c r="U539" s="212" t="s">
        <v>204</v>
      </c>
      <c r="V539" s="212" t="s">
        <v>597</v>
      </c>
      <c r="W539" s="218" t="s">
        <v>1267</v>
      </c>
      <c r="X539" s="73"/>
      <c r="Y539" s="389"/>
      <c r="Z539" s="67"/>
      <c r="AA539" s="67"/>
      <c r="AB539" s="67"/>
      <c r="AC539" s="67"/>
    </row>
    <row r="540" spans="2:29">
      <c r="B540" s="166"/>
      <c r="C540" s="173"/>
      <c r="D540" s="212">
        <v>3</v>
      </c>
      <c r="E540" s="212" t="s">
        <v>336</v>
      </c>
      <c r="F540" s="212" t="str">
        <f t="shared" si="51"/>
        <v>3 - Mobile Combustion</v>
      </c>
      <c r="G540" s="248" t="s">
        <v>307</v>
      </c>
      <c r="H540" s="212" t="s">
        <v>257</v>
      </c>
      <c r="I540" s="212"/>
      <c r="J540" s="212" t="s">
        <v>308</v>
      </c>
      <c r="K540" s="212" t="s">
        <v>248</v>
      </c>
      <c r="L540" s="212" t="s">
        <v>340</v>
      </c>
      <c r="M540" s="215" t="s">
        <v>599</v>
      </c>
      <c r="N540" s="289"/>
      <c r="O540" s="289"/>
      <c r="P540" s="289"/>
      <c r="Q540" s="289"/>
      <c r="R540" s="289"/>
      <c r="S540" s="232">
        <v>5.8880000000000002E-2</v>
      </c>
      <c r="T540" s="388">
        <v>5.9130000000000002E-2</v>
      </c>
      <c r="U540" s="212" t="s">
        <v>204</v>
      </c>
      <c r="V540" s="212" t="s">
        <v>597</v>
      </c>
      <c r="W540" s="218" t="s">
        <v>1267</v>
      </c>
      <c r="X540" s="73"/>
      <c r="Y540" s="389"/>
      <c r="Z540" s="67"/>
      <c r="AA540" s="67"/>
      <c r="AB540" s="67"/>
      <c r="AC540" s="67"/>
    </row>
    <row r="541" spans="2:29">
      <c r="B541" s="166"/>
      <c r="C541" s="173"/>
      <c r="D541" s="212">
        <v>3</v>
      </c>
      <c r="E541" s="212" t="s">
        <v>336</v>
      </c>
      <c r="F541" s="212" t="str">
        <f t="shared" si="51"/>
        <v>3 - Mobile Combustion</v>
      </c>
      <c r="G541" s="248" t="s">
        <v>307</v>
      </c>
      <c r="H541" s="212" t="s">
        <v>257</v>
      </c>
      <c r="I541" s="212"/>
      <c r="J541" s="212" t="s">
        <v>308</v>
      </c>
      <c r="K541" s="212" t="s">
        <v>248</v>
      </c>
      <c r="L541" s="212" t="s">
        <v>340</v>
      </c>
      <c r="M541" s="215" t="s">
        <v>599</v>
      </c>
      <c r="N541" s="289"/>
      <c r="O541" s="289"/>
      <c r="P541" s="289"/>
      <c r="Q541" s="289"/>
      <c r="R541" s="289"/>
      <c r="S541" s="232">
        <v>5.8880000000000002E-2</v>
      </c>
      <c r="T541" s="388">
        <v>5.9130000000000002E-2</v>
      </c>
      <c r="U541" s="212" t="s">
        <v>204</v>
      </c>
      <c r="V541" s="212" t="s">
        <v>597</v>
      </c>
      <c r="W541" s="218" t="s">
        <v>1267</v>
      </c>
      <c r="X541" s="73"/>
      <c r="Y541" s="389"/>
      <c r="Z541" s="67"/>
      <c r="AA541" s="67"/>
      <c r="AB541" s="67"/>
      <c r="AC541" s="67"/>
    </row>
    <row r="542" spans="2:29">
      <c r="B542" s="166"/>
      <c r="C542" s="173"/>
      <c r="D542" s="212">
        <v>3</v>
      </c>
      <c r="E542" s="212" t="s">
        <v>336</v>
      </c>
      <c r="F542" s="212" t="str">
        <f t="shared" si="51"/>
        <v>3 - Mobile Combustion</v>
      </c>
      <c r="G542" s="248" t="s">
        <v>307</v>
      </c>
      <c r="H542" s="212" t="s">
        <v>257</v>
      </c>
      <c r="I542" s="212"/>
      <c r="J542" s="212" t="s">
        <v>308</v>
      </c>
      <c r="K542" s="212" t="s">
        <v>248</v>
      </c>
      <c r="L542" s="212" t="s">
        <v>340</v>
      </c>
      <c r="M542" s="215" t="s">
        <v>599</v>
      </c>
      <c r="N542" s="289"/>
      <c r="O542" s="289"/>
      <c r="P542" s="289"/>
      <c r="Q542" s="289"/>
      <c r="R542" s="289"/>
      <c r="S542" s="232">
        <v>5.8880000000000002E-2</v>
      </c>
      <c r="T542" s="388">
        <v>5.9130000000000002E-2</v>
      </c>
      <c r="U542" s="212" t="s">
        <v>204</v>
      </c>
      <c r="V542" s="212" t="s">
        <v>597</v>
      </c>
      <c r="W542" s="218" t="s">
        <v>1267</v>
      </c>
      <c r="X542" s="73"/>
      <c r="Y542" s="389"/>
      <c r="Z542" s="67"/>
      <c r="AA542" s="67"/>
      <c r="AB542" s="67"/>
      <c r="AC542" s="67"/>
    </row>
    <row r="543" spans="2:29">
      <c r="B543" s="166"/>
      <c r="C543" s="173"/>
      <c r="D543" s="212">
        <v>3</v>
      </c>
      <c r="E543" s="212" t="s">
        <v>336</v>
      </c>
      <c r="F543" s="212" t="str">
        <f t="shared" si="51"/>
        <v>3 - Mobile Combustion</v>
      </c>
      <c r="G543" s="248" t="s">
        <v>307</v>
      </c>
      <c r="H543" s="212" t="s">
        <v>360</v>
      </c>
      <c r="I543" s="212"/>
      <c r="J543" s="212" t="s">
        <v>308</v>
      </c>
      <c r="K543" s="212" t="s">
        <v>203</v>
      </c>
      <c r="L543" s="212" t="s">
        <v>360</v>
      </c>
      <c r="M543" s="215" t="s">
        <v>600</v>
      </c>
      <c r="N543" s="289"/>
      <c r="O543" s="289"/>
      <c r="P543" s="289"/>
      <c r="Q543" s="289"/>
      <c r="R543" s="289"/>
      <c r="S543" s="232">
        <v>5.8880000000000002E-2</v>
      </c>
      <c r="T543" s="388">
        <v>5.9130000000000002E-2</v>
      </c>
      <c r="U543" s="212" t="s">
        <v>204</v>
      </c>
      <c r="V543" s="212" t="s">
        <v>550</v>
      </c>
      <c r="W543" s="218" t="s">
        <v>1262</v>
      </c>
      <c r="X543" s="73"/>
      <c r="Y543" s="389"/>
      <c r="Z543" s="67"/>
      <c r="AA543" s="67"/>
      <c r="AB543" s="67"/>
      <c r="AC543" s="67"/>
    </row>
    <row r="544" spans="2:29">
      <c r="B544" s="166"/>
      <c r="C544" s="173"/>
      <c r="D544" s="212">
        <v>3</v>
      </c>
      <c r="E544" s="212" t="s">
        <v>336</v>
      </c>
      <c r="F544" s="212" t="str">
        <f t="shared" si="51"/>
        <v>3 - Mobile Combustion</v>
      </c>
      <c r="G544" s="248" t="s">
        <v>307</v>
      </c>
      <c r="H544" s="212" t="s">
        <v>360</v>
      </c>
      <c r="I544" s="212"/>
      <c r="J544" s="212" t="s">
        <v>308</v>
      </c>
      <c r="K544" s="212" t="s">
        <v>203</v>
      </c>
      <c r="L544" s="212" t="s">
        <v>360</v>
      </c>
      <c r="M544" s="215" t="s">
        <v>600</v>
      </c>
      <c r="N544" s="289"/>
      <c r="O544" s="289"/>
      <c r="P544" s="289"/>
      <c r="Q544" s="289"/>
      <c r="R544" s="289"/>
      <c r="S544" s="232">
        <v>5.8880000000000002E-2</v>
      </c>
      <c r="T544" s="388">
        <v>5.9130000000000002E-2</v>
      </c>
      <c r="U544" s="212" t="s">
        <v>204</v>
      </c>
      <c r="V544" s="212" t="s">
        <v>550</v>
      </c>
      <c r="W544" s="218" t="s">
        <v>1262</v>
      </c>
      <c r="X544" s="73"/>
      <c r="Y544" s="389"/>
      <c r="Z544" s="67"/>
      <c r="AA544" s="67"/>
      <c r="AB544" s="67"/>
      <c r="AC544" s="67"/>
    </row>
    <row r="545" spans="2:29">
      <c r="B545" s="166"/>
      <c r="C545" s="173"/>
      <c r="D545" s="212">
        <v>3</v>
      </c>
      <c r="E545" s="212" t="s">
        <v>336</v>
      </c>
      <c r="F545" s="212" t="str">
        <f t="shared" si="51"/>
        <v>3 - Mobile Combustion</v>
      </c>
      <c r="G545" s="248" t="s">
        <v>307</v>
      </c>
      <c r="H545" s="212" t="s">
        <v>360</v>
      </c>
      <c r="I545" s="212"/>
      <c r="J545" s="212" t="s">
        <v>308</v>
      </c>
      <c r="K545" s="212" t="s">
        <v>203</v>
      </c>
      <c r="L545" s="212" t="s">
        <v>360</v>
      </c>
      <c r="M545" s="215" t="s">
        <v>600</v>
      </c>
      <c r="N545" s="289"/>
      <c r="O545" s="289"/>
      <c r="P545" s="289"/>
      <c r="Q545" s="289"/>
      <c r="R545" s="289"/>
      <c r="S545" s="232">
        <v>5.8880000000000002E-2</v>
      </c>
      <c r="T545" s="388">
        <v>5.9130000000000002E-2</v>
      </c>
      <c r="U545" s="212" t="s">
        <v>204</v>
      </c>
      <c r="V545" s="212" t="s">
        <v>550</v>
      </c>
      <c r="W545" s="218" t="s">
        <v>1262</v>
      </c>
      <c r="X545" s="73"/>
      <c r="Y545" s="389"/>
      <c r="Z545" s="67"/>
      <c r="AA545" s="67"/>
      <c r="AB545" s="67"/>
      <c r="AC545" s="67"/>
    </row>
    <row r="546" spans="2:29">
      <c r="B546" s="166"/>
      <c r="C546" s="173"/>
      <c r="D546" s="212">
        <v>3</v>
      </c>
      <c r="E546" s="212" t="s">
        <v>336</v>
      </c>
      <c r="F546" s="212" t="str">
        <f t="shared" si="51"/>
        <v>3 - Mobile Combustion</v>
      </c>
      <c r="G546" s="248" t="s">
        <v>307</v>
      </c>
      <c r="H546" s="212" t="s">
        <v>360</v>
      </c>
      <c r="I546" s="212"/>
      <c r="J546" s="212" t="s">
        <v>308</v>
      </c>
      <c r="K546" s="212" t="s">
        <v>203</v>
      </c>
      <c r="L546" s="212" t="s">
        <v>360</v>
      </c>
      <c r="M546" s="215" t="s">
        <v>600</v>
      </c>
      <c r="N546" s="289"/>
      <c r="O546" s="289"/>
      <c r="P546" s="289"/>
      <c r="Q546" s="289"/>
      <c r="R546" s="289"/>
      <c r="S546" s="232">
        <v>5.8880000000000002E-2</v>
      </c>
      <c r="T546" s="388">
        <v>5.9130000000000002E-2</v>
      </c>
      <c r="U546" s="212" t="s">
        <v>204</v>
      </c>
      <c r="V546" s="212" t="s">
        <v>550</v>
      </c>
      <c r="W546" s="218" t="s">
        <v>1262</v>
      </c>
      <c r="X546" s="73"/>
      <c r="Y546" s="389"/>
      <c r="Z546" s="67"/>
      <c r="AA546" s="67"/>
      <c r="AB546" s="67"/>
      <c r="AC546" s="67"/>
    </row>
    <row r="547" spans="2:29">
      <c r="B547" s="166"/>
      <c r="C547" s="173"/>
      <c r="D547" s="212">
        <v>3</v>
      </c>
      <c r="E547" s="212" t="s">
        <v>336</v>
      </c>
      <c r="F547" s="212" t="str">
        <f t="shared" si="51"/>
        <v>3 - Mobile Combustion</v>
      </c>
      <c r="G547" s="248" t="s">
        <v>307</v>
      </c>
      <c r="H547" s="212" t="s">
        <v>360</v>
      </c>
      <c r="I547" s="212"/>
      <c r="J547" s="212" t="s">
        <v>308</v>
      </c>
      <c r="K547" s="212" t="s">
        <v>203</v>
      </c>
      <c r="L547" s="212" t="s">
        <v>360</v>
      </c>
      <c r="M547" s="215" t="s">
        <v>600</v>
      </c>
      <c r="N547" s="289"/>
      <c r="O547" s="289"/>
      <c r="P547" s="289"/>
      <c r="Q547" s="289"/>
      <c r="R547" s="289"/>
      <c r="S547" s="232">
        <v>5.8880000000000002E-2</v>
      </c>
      <c r="T547" s="388">
        <v>5.9130000000000002E-2</v>
      </c>
      <c r="U547" s="212" t="s">
        <v>204</v>
      </c>
      <c r="V547" s="212" t="s">
        <v>550</v>
      </c>
      <c r="W547" s="218" t="s">
        <v>1262</v>
      </c>
      <c r="X547" s="73" t="s">
        <v>246</v>
      </c>
      <c r="Y547" s="389"/>
      <c r="Z547" s="67"/>
      <c r="AA547" s="67"/>
      <c r="AB547" s="67"/>
      <c r="AC547" s="67"/>
    </row>
    <row r="548" spans="2:29">
      <c r="B548" s="166"/>
      <c r="C548" s="173"/>
      <c r="D548" s="212">
        <v>3</v>
      </c>
      <c r="E548" s="212" t="s">
        <v>411</v>
      </c>
      <c r="F548" s="212" t="str">
        <f t="shared" si="51"/>
        <v>3 - Upstream/Downstream Transportation and Distribution</v>
      </c>
      <c r="G548" s="248" t="s">
        <v>307</v>
      </c>
      <c r="H548" s="212" t="s">
        <v>337</v>
      </c>
      <c r="I548" s="212"/>
      <c r="J548" s="212" t="s">
        <v>308</v>
      </c>
      <c r="K548" s="212" t="s">
        <v>203</v>
      </c>
      <c r="L548" s="212" t="s">
        <v>247</v>
      </c>
      <c r="M548" s="215" t="s">
        <v>549</v>
      </c>
      <c r="N548" s="289"/>
      <c r="O548" s="289"/>
      <c r="P548" s="289"/>
      <c r="Q548" s="289"/>
      <c r="R548" s="289"/>
      <c r="S548" s="232">
        <v>5.8880000000000002E-2</v>
      </c>
      <c r="T548" s="388">
        <v>5.9130000000000002E-2</v>
      </c>
      <c r="U548" s="212" t="s">
        <v>204</v>
      </c>
      <c r="V548" s="212" t="s">
        <v>550</v>
      </c>
      <c r="W548" s="218" t="s">
        <v>1262</v>
      </c>
      <c r="X548" s="73" t="s">
        <v>246</v>
      </c>
      <c r="Y548" s="389"/>
      <c r="Z548" s="67"/>
      <c r="AA548" s="67"/>
      <c r="AB548" s="67"/>
      <c r="AC548" s="67"/>
    </row>
    <row r="549" spans="2:29">
      <c r="B549" s="166"/>
      <c r="C549" s="173"/>
      <c r="D549" s="212">
        <v>3</v>
      </c>
      <c r="E549" s="212" t="s">
        <v>411</v>
      </c>
      <c r="F549" s="212" t="str">
        <f t="shared" si="51"/>
        <v>3 - Upstream/Downstream Transportation and Distribution</v>
      </c>
      <c r="G549" s="248" t="s">
        <v>307</v>
      </c>
      <c r="H549" s="212" t="s">
        <v>337</v>
      </c>
      <c r="I549" s="212"/>
      <c r="J549" s="212" t="s">
        <v>308</v>
      </c>
      <c r="K549" s="212" t="s">
        <v>338</v>
      </c>
      <c r="L549" s="212" t="s">
        <v>247</v>
      </c>
      <c r="M549" s="215" t="s">
        <v>551</v>
      </c>
      <c r="N549" s="289"/>
      <c r="O549" s="289"/>
      <c r="P549" s="289"/>
      <c r="Q549" s="289"/>
      <c r="R549" s="289"/>
      <c r="S549" s="232">
        <v>6.9409999999999999E-2</v>
      </c>
      <c r="T549" s="388">
        <v>9.3640000000000001E-2</v>
      </c>
      <c r="U549" s="212" t="s">
        <v>204</v>
      </c>
      <c r="V549" s="212" t="s">
        <v>552</v>
      </c>
      <c r="W549" s="218" t="s">
        <v>1263</v>
      </c>
      <c r="X549" s="73" t="s">
        <v>246</v>
      </c>
      <c r="Y549" s="389"/>
      <c r="Z549" s="67"/>
      <c r="AA549" s="67"/>
      <c r="AB549" s="67"/>
      <c r="AC549" s="67"/>
    </row>
    <row r="550" spans="2:29">
      <c r="B550" s="166"/>
      <c r="C550" s="173"/>
      <c r="D550" s="212">
        <v>3</v>
      </c>
      <c r="E550" s="212" t="s">
        <v>411</v>
      </c>
      <c r="F550" s="212" t="str">
        <f t="shared" si="51"/>
        <v>3 - Upstream/Downstream Transportation and Distribution</v>
      </c>
      <c r="G550" s="248" t="s">
        <v>307</v>
      </c>
      <c r="H550" s="212" t="s">
        <v>339</v>
      </c>
      <c r="I550" s="212"/>
      <c r="J550" s="212" t="s">
        <v>308</v>
      </c>
      <c r="K550" s="212" t="s">
        <v>203</v>
      </c>
      <c r="L550" s="212" t="s">
        <v>340</v>
      </c>
      <c r="M550" s="215" t="s">
        <v>553</v>
      </c>
      <c r="N550" s="289"/>
      <c r="O550" s="289"/>
      <c r="P550" s="289"/>
      <c r="Q550" s="289"/>
      <c r="R550" s="289"/>
      <c r="S550" s="232">
        <v>5.8880000000000002E-2</v>
      </c>
      <c r="T550" s="388">
        <v>5.9130000000000002E-2</v>
      </c>
      <c r="U550" s="212" t="s">
        <v>204</v>
      </c>
      <c r="V550" s="212" t="s">
        <v>550</v>
      </c>
      <c r="W550" s="218" t="s">
        <v>1262</v>
      </c>
      <c r="X550" s="73" t="s">
        <v>246</v>
      </c>
      <c r="Y550" s="389"/>
      <c r="Z550" s="67"/>
      <c r="AA550" s="67"/>
      <c r="AB550" s="67"/>
      <c r="AC550" s="67"/>
    </row>
    <row r="551" spans="2:29">
      <c r="B551" s="166"/>
      <c r="C551" s="173"/>
      <c r="D551" s="212">
        <v>3</v>
      </c>
      <c r="E551" s="212" t="s">
        <v>411</v>
      </c>
      <c r="F551" s="212" t="str">
        <f t="shared" ref="F551" si="52">D551&amp;" - "&amp;E551</f>
        <v>3 - Upstream/Downstream Transportation and Distribution</v>
      </c>
      <c r="G551" s="248" t="s">
        <v>307</v>
      </c>
      <c r="H551" s="212" t="s">
        <v>339</v>
      </c>
      <c r="I551" s="212"/>
      <c r="J551" s="212" t="s">
        <v>308</v>
      </c>
      <c r="K551" s="212" t="s">
        <v>338</v>
      </c>
      <c r="L551" s="212" t="s">
        <v>340</v>
      </c>
      <c r="M551" s="215" t="s">
        <v>1305</v>
      </c>
      <c r="N551" s="289"/>
      <c r="O551" s="289"/>
      <c r="P551" s="289"/>
      <c r="Q551" s="289"/>
      <c r="R551" s="289"/>
      <c r="S551" s="232">
        <f>S549</f>
        <v>6.9409999999999999E-2</v>
      </c>
      <c r="T551" s="388">
        <f>T549</f>
        <v>9.3640000000000001E-2</v>
      </c>
      <c r="U551" s="212" t="s">
        <v>204</v>
      </c>
      <c r="V551" s="212" t="str">
        <f>V549</f>
        <v>Residual Oil - Gross CV</v>
      </c>
      <c r="W551" s="218" t="s">
        <v>1263</v>
      </c>
      <c r="X551" s="73" t="s">
        <v>246</v>
      </c>
      <c r="Y551" s="389"/>
      <c r="Z551" s="67"/>
      <c r="AA551" s="67"/>
      <c r="AB551" s="67"/>
      <c r="AC551" s="67"/>
    </row>
    <row r="552" spans="2:29">
      <c r="B552" s="166"/>
      <c r="C552" s="173"/>
      <c r="D552" s="212">
        <v>3</v>
      </c>
      <c r="E552" s="212" t="s">
        <v>411</v>
      </c>
      <c r="F552" s="212" t="str">
        <f t="shared" si="51"/>
        <v>3 - Upstream/Downstream Transportation and Distribution</v>
      </c>
      <c r="G552" s="248" t="s">
        <v>307</v>
      </c>
      <c r="H552" s="212" t="s">
        <v>341</v>
      </c>
      <c r="I552" s="212"/>
      <c r="J552" s="212" t="s">
        <v>308</v>
      </c>
      <c r="K552" s="212" t="s">
        <v>203</v>
      </c>
      <c r="L552" s="212" t="s">
        <v>342</v>
      </c>
      <c r="M552" s="215" t="s">
        <v>554</v>
      </c>
      <c r="N552" s="289"/>
      <c r="O552" s="289"/>
      <c r="P552" s="289"/>
      <c r="Q552" s="289"/>
      <c r="R552" s="289"/>
      <c r="S552" s="232">
        <v>5.8880000000000002E-2</v>
      </c>
      <c r="T552" s="388">
        <v>5.9130000000000002E-2</v>
      </c>
      <c r="U552" s="212" t="s">
        <v>204</v>
      </c>
      <c r="V552" s="212" t="s">
        <v>550</v>
      </c>
      <c r="W552" s="218" t="s">
        <v>1262</v>
      </c>
      <c r="X552" s="73" t="s">
        <v>246</v>
      </c>
      <c r="Y552" s="389"/>
      <c r="Z552" s="67"/>
      <c r="AA552" s="67"/>
      <c r="AB552" s="67"/>
      <c r="AC552" s="67"/>
    </row>
    <row r="553" spans="2:29">
      <c r="B553" s="166"/>
      <c r="C553" s="173"/>
      <c r="D553" s="212">
        <v>3</v>
      </c>
      <c r="E553" s="212" t="s">
        <v>411</v>
      </c>
      <c r="F553" s="212" t="str">
        <f t="shared" si="51"/>
        <v>3 - Upstream/Downstream Transportation and Distribution</v>
      </c>
      <c r="G553" s="248" t="s">
        <v>307</v>
      </c>
      <c r="H553" s="212" t="s">
        <v>341</v>
      </c>
      <c r="I553" s="212"/>
      <c r="J553" s="212" t="s">
        <v>308</v>
      </c>
      <c r="K553" s="212" t="s">
        <v>338</v>
      </c>
      <c r="L553" s="212" t="s">
        <v>342</v>
      </c>
      <c r="M553" s="215" t="s">
        <v>555</v>
      </c>
      <c r="N553" s="289"/>
      <c r="O553" s="289"/>
      <c r="P553" s="289"/>
      <c r="Q553" s="289"/>
      <c r="R553" s="289"/>
      <c r="S553" s="232">
        <v>6.9409999999999999E-2</v>
      </c>
      <c r="T553" s="388">
        <v>9.3640000000000001E-2</v>
      </c>
      <c r="U553" s="212" t="s">
        <v>204</v>
      </c>
      <c r="V553" s="212" t="s">
        <v>552</v>
      </c>
      <c r="W553" s="218" t="s">
        <v>1263</v>
      </c>
      <c r="X553" s="73" t="s">
        <v>246</v>
      </c>
      <c r="Y553" s="389"/>
      <c r="Z553" s="67"/>
      <c r="AA553" s="67"/>
      <c r="AB553" s="67"/>
      <c r="AC553" s="67"/>
    </row>
    <row r="554" spans="2:29">
      <c r="B554" s="166"/>
      <c r="C554" s="173"/>
      <c r="D554" s="212">
        <v>3</v>
      </c>
      <c r="E554" s="212" t="s">
        <v>411</v>
      </c>
      <c r="F554" s="212" t="str">
        <f t="shared" si="51"/>
        <v>3 - Upstream/Downstream Transportation and Distribution</v>
      </c>
      <c r="G554" s="248" t="s">
        <v>307</v>
      </c>
      <c r="H554" s="212" t="s">
        <v>343</v>
      </c>
      <c r="I554" s="212" t="s">
        <v>344</v>
      </c>
      <c r="J554" s="212" t="s">
        <v>308</v>
      </c>
      <c r="K554" s="212" t="s">
        <v>345</v>
      </c>
      <c r="L554" s="212" t="s">
        <v>343</v>
      </c>
      <c r="M554" s="215" t="s">
        <v>556</v>
      </c>
      <c r="N554" s="289"/>
      <c r="O554" s="289"/>
      <c r="P554" s="289"/>
      <c r="Q554" s="289"/>
      <c r="R554" s="289"/>
      <c r="S554" s="232">
        <v>19.542120000000001</v>
      </c>
      <c r="T554" s="388">
        <v>27.022629999999999</v>
      </c>
      <c r="U554" s="212" t="s">
        <v>309</v>
      </c>
      <c r="V554" s="212" t="s">
        <v>557</v>
      </c>
      <c r="W554" s="218" t="s">
        <v>1193</v>
      </c>
      <c r="X554" s="73" t="s">
        <v>246</v>
      </c>
      <c r="Y554" s="389"/>
      <c r="Z554" s="67"/>
      <c r="AA554" s="67"/>
      <c r="AB554" s="67"/>
      <c r="AC554" s="67"/>
    </row>
    <row r="555" spans="2:29">
      <c r="B555" s="166"/>
      <c r="C555" s="173"/>
      <c r="D555" s="212">
        <v>3</v>
      </c>
      <c r="E555" s="212" t="s">
        <v>411</v>
      </c>
      <c r="F555" s="212" t="str">
        <f t="shared" si="51"/>
        <v>3 - Upstream/Downstream Transportation and Distribution</v>
      </c>
      <c r="G555" s="248" t="s">
        <v>307</v>
      </c>
      <c r="H555" s="212" t="s">
        <v>343</v>
      </c>
      <c r="I555" s="212" t="s">
        <v>344</v>
      </c>
      <c r="J555" s="212" t="s">
        <v>308</v>
      </c>
      <c r="K555" s="212" t="s">
        <v>346</v>
      </c>
      <c r="L555" s="212" t="s">
        <v>343</v>
      </c>
      <c r="M555" s="215" t="s">
        <v>558</v>
      </c>
      <c r="N555" s="289"/>
      <c r="O555" s="289"/>
      <c r="P555" s="289"/>
      <c r="Q555" s="289"/>
      <c r="R555" s="289"/>
      <c r="S555" s="232">
        <v>10.97</v>
      </c>
      <c r="T555" s="388">
        <v>13.51896</v>
      </c>
      <c r="U555" s="212" t="s">
        <v>309</v>
      </c>
      <c r="V555" s="212" t="s">
        <v>559</v>
      </c>
      <c r="W555" s="218" t="s">
        <v>1194</v>
      </c>
      <c r="X555" s="73" t="s">
        <v>246</v>
      </c>
      <c r="Y555" s="389"/>
      <c r="Z555" s="67"/>
      <c r="AA555" s="67"/>
      <c r="AB555" s="67"/>
      <c r="AC555" s="67"/>
    </row>
    <row r="556" spans="2:29">
      <c r="B556" s="166"/>
      <c r="C556" s="173"/>
      <c r="D556" s="212">
        <v>3</v>
      </c>
      <c r="E556" s="212" t="s">
        <v>411</v>
      </c>
      <c r="F556" s="212" t="str">
        <f t="shared" si="51"/>
        <v>3 - Upstream/Downstream Transportation and Distribution</v>
      </c>
      <c r="G556" s="248" t="s">
        <v>307</v>
      </c>
      <c r="H556" s="212" t="s">
        <v>343</v>
      </c>
      <c r="I556" s="212" t="s">
        <v>344</v>
      </c>
      <c r="J556" s="212" t="s">
        <v>308</v>
      </c>
      <c r="K556" s="212" t="s">
        <v>203</v>
      </c>
      <c r="L556" s="212" t="s">
        <v>343</v>
      </c>
      <c r="M556" s="215" t="s">
        <v>560</v>
      </c>
      <c r="N556" s="289"/>
      <c r="O556" s="289"/>
      <c r="P556" s="289"/>
      <c r="Q556" s="289"/>
      <c r="R556" s="289"/>
      <c r="S556" s="232">
        <v>5.8880000000000002E-2</v>
      </c>
      <c r="T556" s="388">
        <v>5.9130000000000002E-2</v>
      </c>
      <c r="U556" s="212" t="s">
        <v>204</v>
      </c>
      <c r="V556" s="212" t="s">
        <v>550</v>
      </c>
      <c r="W556" s="218" t="s">
        <v>1262</v>
      </c>
      <c r="X556" s="73" t="s">
        <v>246</v>
      </c>
      <c r="Y556" s="389"/>
      <c r="Z556" s="67"/>
      <c r="AA556" s="67"/>
      <c r="AB556" s="67"/>
      <c r="AC556" s="67"/>
    </row>
    <row r="557" spans="2:29">
      <c r="B557" s="166"/>
      <c r="C557" s="173"/>
      <c r="D557" s="212">
        <v>3</v>
      </c>
      <c r="E557" s="212" t="s">
        <v>411</v>
      </c>
      <c r="F557" s="212" t="str">
        <f t="shared" si="51"/>
        <v>3 - Upstream/Downstream Transportation and Distribution</v>
      </c>
      <c r="G557" s="248" t="s">
        <v>307</v>
      </c>
      <c r="H557" s="212" t="s">
        <v>343</v>
      </c>
      <c r="I557" s="212" t="s">
        <v>344</v>
      </c>
      <c r="J557" s="212" t="s">
        <v>308</v>
      </c>
      <c r="K557" s="212" t="s">
        <v>207</v>
      </c>
      <c r="L557" s="212" t="s">
        <v>343</v>
      </c>
      <c r="M557" s="215" t="s">
        <v>561</v>
      </c>
      <c r="N557" s="289"/>
      <c r="O557" s="289"/>
      <c r="P557" s="289"/>
      <c r="Q557" s="289"/>
      <c r="R557" s="289"/>
      <c r="S557" s="232">
        <v>6.2239999999999997E-2</v>
      </c>
      <c r="T557" s="388">
        <v>6.2530000000000002E-2</v>
      </c>
      <c r="U557" s="212" t="s">
        <v>204</v>
      </c>
      <c r="V557" s="212" t="s">
        <v>562</v>
      </c>
      <c r="W557" s="218" t="s">
        <v>1264</v>
      </c>
      <c r="X557" s="73" t="s">
        <v>246</v>
      </c>
      <c r="Y557" s="389"/>
      <c r="Z557" s="67"/>
      <c r="AA557" s="67"/>
      <c r="AB557" s="67"/>
      <c r="AC557" s="67"/>
    </row>
    <row r="558" spans="2:29">
      <c r="B558" s="166"/>
      <c r="C558" s="173"/>
      <c r="D558" s="212">
        <v>3</v>
      </c>
      <c r="E558" s="212" t="s">
        <v>411</v>
      </c>
      <c r="F558" s="212" t="str">
        <f t="shared" si="51"/>
        <v>3 - Upstream/Downstream Transportation and Distribution</v>
      </c>
      <c r="G558" s="248" t="s">
        <v>307</v>
      </c>
      <c r="H558" s="212" t="s">
        <v>202</v>
      </c>
      <c r="I558" s="212" t="s">
        <v>344</v>
      </c>
      <c r="J558" s="212" t="s">
        <v>308</v>
      </c>
      <c r="K558" s="212" t="s">
        <v>345</v>
      </c>
      <c r="L558" s="212" t="s">
        <v>202</v>
      </c>
      <c r="M558" s="215" t="s">
        <v>563</v>
      </c>
      <c r="N558" s="289"/>
      <c r="O558" s="289"/>
      <c r="P558" s="289"/>
      <c r="Q558" s="289"/>
      <c r="R558" s="289"/>
      <c r="S558" s="232">
        <v>19.542120000000001</v>
      </c>
      <c r="T558" s="388">
        <v>27.022629999999999</v>
      </c>
      <c r="U558" s="212" t="s">
        <v>309</v>
      </c>
      <c r="V558" s="212" t="s">
        <v>557</v>
      </c>
      <c r="W558" s="218" t="s">
        <v>1193</v>
      </c>
      <c r="X558" s="73" t="s">
        <v>246</v>
      </c>
      <c r="Y558" s="389"/>
      <c r="Z558" s="67"/>
      <c r="AA558" s="67"/>
      <c r="AB558" s="67"/>
      <c r="AC558" s="67"/>
    </row>
    <row r="559" spans="2:29">
      <c r="B559" s="166"/>
      <c r="C559" s="173"/>
      <c r="D559" s="212">
        <v>3</v>
      </c>
      <c r="E559" s="212" t="s">
        <v>411</v>
      </c>
      <c r="F559" s="212" t="str">
        <f t="shared" si="51"/>
        <v>3 - Upstream/Downstream Transportation and Distribution</v>
      </c>
      <c r="G559" s="248" t="s">
        <v>307</v>
      </c>
      <c r="H559" s="212" t="s">
        <v>202</v>
      </c>
      <c r="I559" s="212" t="s">
        <v>344</v>
      </c>
      <c r="J559" s="212" t="s">
        <v>308</v>
      </c>
      <c r="K559" s="212" t="s">
        <v>346</v>
      </c>
      <c r="L559" s="212" t="s">
        <v>202</v>
      </c>
      <c r="M559" s="215" t="s">
        <v>564</v>
      </c>
      <c r="N559" s="289"/>
      <c r="O559" s="289"/>
      <c r="P559" s="289"/>
      <c r="Q559" s="289"/>
      <c r="R559" s="289"/>
      <c r="S559" s="232">
        <v>10.97</v>
      </c>
      <c r="T559" s="388">
        <v>13.51896</v>
      </c>
      <c r="U559" s="212" t="s">
        <v>309</v>
      </c>
      <c r="V559" s="212" t="s">
        <v>559</v>
      </c>
      <c r="W559" s="218" t="s">
        <v>1194</v>
      </c>
      <c r="X559" s="73" t="s">
        <v>246</v>
      </c>
      <c r="Y559" s="389"/>
      <c r="Z559" s="67"/>
      <c r="AA559" s="67"/>
      <c r="AB559" s="67"/>
      <c r="AC559" s="67"/>
    </row>
    <row r="560" spans="2:29">
      <c r="B560" s="166"/>
      <c r="C560" s="173"/>
      <c r="D560" s="212">
        <v>3</v>
      </c>
      <c r="E560" s="212" t="s">
        <v>411</v>
      </c>
      <c r="F560" s="212" t="str">
        <f t="shared" si="51"/>
        <v>3 - Upstream/Downstream Transportation and Distribution</v>
      </c>
      <c r="G560" s="248" t="s">
        <v>307</v>
      </c>
      <c r="H560" s="212" t="s">
        <v>202</v>
      </c>
      <c r="I560" s="212" t="s">
        <v>344</v>
      </c>
      <c r="J560" s="212" t="s">
        <v>308</v>
      </c>
      <c r="K560" s="212" t="s">
        <v>203</v>
      </c>
      <c r="L560" s="212" t="s">
        <v>202</v>
      </c>
      <c r="M560" s="215" t="s">
        <v>565</v>
      </c>
      <c r="N560" s="289"/>
      <c r="O560" s="289"/>
      <c r="P560" s="289"/>
      <c r="Q560" s="289"/>
      <c r="R560" s="289"/>
      <c r="S560" s="232">
        <v>5.8880000000000002E-2</v>
      </c>
      <c r="T560" s="388">
        <v>5.9130000000000002E-2</v>
      </c>
      <c r="U560" s="212" t="s">
        <v>204</v>
      </c>
      <c r="V560" s="212" t="s">
        <v>550</v>
      </c>
      <c r="W560" s="218" t="s">
        <v>1262</v>
      </c>
      <c r="X560" s="73" t="s">
        <v>246</v>
      </c>
      <c r="Y560" s="389"/>
      <c r="Z560" s="67"/>
      <c r="AA560" s="67"/>
      <c r="AB560" s="67"/>
      <c r="AC560" s="67"/>
    </row>
    <row r="561" spans="2:29">
      <c r="B561" s="166"/>
      <c r="C561" s="173"/>
      <c r="D561" s="212">
        <v>3</v>
      </c>
      <c r="E561" s="212" t="s">
        <v>411</v>
      </c>
      <c r="F561" s="212" t="str">
        <f t="shared" si="51"/>
        <v>3 - Upstream/Downstream Transportation and Distribution</v>
      </c>
      <c r="G561" s="248" t="s">
        <v>307</v>
      </c>
      <c r="H561" s="212" t="s">
        <v>202</v>
      </c>
      <c r="I561" s="212" t="s">
        <v>344</v>
      </c>
      <c r="J561" s="212" t="s">
        <v>308</v>
      </c>
      <c r="K561" s="212" t="s">
        <v>207</v>
      </c>
      <c r="L561" s="212" t="s">
        <v>202</v>
      </c>
      <c r="M561" s="215" t="s">
        <v>566</v>
      </c>
      <c r="N561" s="289"/>
      <c r="O561" s="289"/>
      <c r="P561" s="289"/>
      <c r="Q561" s="289"/>
      <c r="R561" s="289"/>
      <c r="S561" s="232">
        <v>6.2239999999999997E-2</v>
      </c>
      <c r="T561" s="388">
        <v>6.2530000000000002E-2</v>
      </c>
      <c r="U561" s="212" t="s">
        <v>204</v>
      </c>
      <c r="V561" s="212" t="s">
        <v>562</v>
      </c>
      <c r="W561" s="218" t="s">
        <v>1264</v>
      </c>
      <c r="X561" s="73" t="s">
        <v>246</v>
      </c>
      <c r="Y561" s="389"/>
      <c r="Z561" s="67"/>
      <c r="AA561" s="67"/>
      <c r="AB561" s="67"/>
      <c r="AC561" s="67"/>
    </row>
    <row r="562" spans="2:29">
      <c r="B562" s="166"/>
      <c r="C562" s="173"/>
      <c r="D562" s="212">
        <v>3</v>
      </c>
      <c r="E562" s="212" t="s">
        <v>411</v>
      </c>
      <c r="F562" s="212" t="str">
        <f t="shared" ref="F562:F625" si="53">D562&amp;" - "&amp;E562</f>
        <v>3 - Upstream/Downstream Transportation and Distribution</v>
      </c>
      <c r="G562" s="248" t="s">
        <v>307</v>
      </c>
      <c r="H562" s="212" t="s">
        <v>206</v>
      </c>
      <c r="I562" s="212" t="s">
        <v>344</v>
      </c>
      <c r="J562" s="212" t="s">
        <v>308</v>
      </c>
      <c r="K562" s="212" t="s">
        <v>345</v>
      </c>
      <c r="L562" s="212" t="s">
        <v>206</v>
      </c>
      <c r="M562" s="215" t="s">
        <v>567</v>
      </c>
      <c r="N562" s="289"/>
      <c r="O562" s="289"/>
      <c r="P562" s="289"/>
      <c r="Q562" s="289"/>
      <c r="R562" s="289"/>
      <c r="S562" s="232">
        <v>19.542120000000001</v>
      </c>
      <c r="T562" s="388">
        <v>27.022629999999999</v>
      </c>
      <c r="U562" s="212" t="s">
        <v>309</v>
      </c>
      <c r="V562" s="212" t="s">
        <v>557</v>
      </c>
      <c r="W562" s="218" t="s">
        <v>1193</v>
      </c>
      <c r="X562" s="73" t="s">
        <v>246</v>
      </c>
      <c r="Y562" s="389"/>
      <c r="Z562" s="67"/>
      <c r="AA562" s="67"/>
      <c r="AB562" s="67"/>
      <c r="AC562" s="67"/>
    </row>
    <row r="563" spans="2:29">
      <c r="B563" s="166"/>
      <c r="C563" s="173"/>
      <c r="D563" s="212">
        <v>3</v>
      </c>
      <c r="E563" s="212" t="s">
        <v>411</v>
      </c>
      <c r="F563" s="212" t="str">
        <f t="shared" si="53"/>
        <v>3 - Upstream/Downstream Transportation and Distribution</v>
      </c>
      <c r="G563" s="248" t="s">
        <v>307</v>
      </c>
      <c r="H563" s="212" t="s">
        <v>206</v>
      </c>
      <c r="I563" s="212" t="s">
        <v>344</v>
      </c>
      <c r="J563" s="212" t="s">
        <v>308</v>
      </c>
      <c r="K563" s="212" t="s">
        <v>346</v>
      </c>
      <c r="L563" s="212" t="s">
        <v>206</v>
      </c>
      <c r="M563" s="215" t="s">
        <v>568</v>
      </c>
      <c r="N563" s="289"/>
      <c r="O563" s="289"/>
      <c r="P563" s="289"/>
      <c r="Q563" s="289"/>
      <c r="R563" s="289"/>
      <c r="S563" s="232">
        <v>10.97</v>
      </c>
      <c r="T563" s="388">
        <v>13.51896</v>
      </c>
      <c r="U563" s="212" t="s">
        <v>309</v>
      </c>
      <c r="V563" s="212" t="s">
        <v>559</v>
      </c>
      <c r="W563" s="218" t="s">
        <v>1194</v>
      </c>
      <c r="X563" s="73" t="s">
        <v>246</v>
      </c>
      <c r="Y563" s="389"/>
      <c r="Z563" s="67"/>
      <c r="AA563" s="67"/>
      <c r="AB563" s="67"/>
      <c r="AC563" s="67"/>
    </row>
    <row r="564" spans="2:29">
      <c r="B564" s="166"/>
      <c r="C564" s="173"/>
      <c r="D564" s="212">
        <v>3</v>
      </c>
      <c r="E564" s="212" t="s">
        <v>411</v>
      </c>
      <c r="F564" s="212" t="str">
        <f t="shared" si="53"/>
        <v>3 - Upstream/Downstream Transportation and Distribution</v>
      </c>
      <c r="G564" s="248" t="s">
        <v>307</v>
      </c>
      <c r="H564" s="212" t="s">
        <v>206</v>
      </c>
      <c r="I564" s="212" t="s">
        <v>344</v>
      </c>
      <c r="J564" s="212" t="s">
        <v>308</v>
      </c>
      <c r="K564" s="212" t="s">
        <v>203</v>
      </c>
      <c r="L564" s="212" t="s">
        <v>206</v>
      </c>
      <c r="M564" s="215" t="s">
        <v>569</v>
      </c>
      <c r="N564" s="289"/>
      <c r="O564" s="289"/>
      <c r="P564" s="289"/>
      <c r="Q564" s="289"/>
      <c r="R564" s="289"/>
      <c r="S564" s="232">
        <v>5.8880000000000002E-2</v>
      </c>
      <c r="T564" s="388">
        <v>5.9130000000000002E-2</v>
      </c>
      <c r="U564" s="212" t="s">
        <v>204</v>
      </c>
      <c r="V564" s="212" t="s">
        <v>550</v>
      </c>
      <c r="W564" s="218" t="s">
        <v>1262</v>
      </c>
      <c r="X564" s="73" t="s">
        <v>246</v>
      </c>
      <c r="Y564" s="389"/>
      <c r="Z564" s="67"/>
      <c r="AA564" s="67"/>
      <c r="AB564" s="67"/>
      <c r="AC564" s="67"/>
    </row>
    <row r="565" spans="2:29">
      <c r="B565" s="166"/>
      <c r="C565" s="173"/>
      <c r="D565" s="212">
        <v>3</v>
      </c>
      <c r="E565" s="212" t="s">
        <v>411</v>
      </c>
      <c r="F565" s="212" t="str">
        <f t="shared" si="53"/>
        <v>3 - Upstream/Downstream Transportation and Distribution</v>
      </c>
      <c r="G565" s="248" t="s">
        <v>307</v>
      </c>
      <c r="H565" s="212" t="s">
        <v>206</v>
      </c>
      <c r="I565" s="212" t="s">
        <v>344</v>
      </c>
      <c r="J565" s="212" t="s">
        <v>308</v>
      </c>
      <c r="K565" s="212" t="s">
        <v>207</v>
      </c>
      <c r="L565" s="212" t="s">
        <v>206</v>
      </c>
      <c r="M565" s="215" t="s">
        <v>570</v>
      </c>
      <c r="N565" s="289"/>
      <c r="O565" s="289"/>
      <c r="P565" s="289"/>
      <c r="Q565" s="289"/>
      <c r="R565" s="289"/>
      <c r="S565" s="232">
        <v>6.2239999999999997E-2</v>
      </c>
      <c r="T565" s="388">
        <v>6.2530000000000002E-2</v>
      </c>
      <c r="U565" s="212" t="s">
        <v>204</v>
      </c>
      <c r="V565" s="212" t="s">
        <v>562</v>
      </c>
      <c r="W565" s="218" t="s">
        <v>1264</v>
      </c>
      <c r="X565" s="73" t="s">
        <v>246</v>
      </c>
      <c r="Y565" s="389"/>
      <c r="Z565" s="67"/>
      <c r="AA565" s="67"/>
      <c r="AB565" s="67"/>
      <c r="AC565" s="67"/>
    </row>
    <row r="566" spans="2:29">
      <c r="B566" s="166"/>
      <c r="C566" s="173"/>
      <c r="D566" s="212">
        <v>3</v>
      </c>
      <c r="E566" s="212" t="s">
        <v>411</v>
      </c>
      <c r="F566" s="212" t="str">
        <f t="shared" si="53"/>
        <v>3 - Upstream/Downstream Transportation and Distribution</v>
      </c>
      <c r="G566" s="248" t="s">
        <v>307</v>
      </c>
      <c r="H566" s="212" t="s">
        <v>347</v>
      </c>
      <c r="I566" s="212" t="s">
        <v>344</v>
      </c>
      <c r="J566" s="212" t="s">
        <v>308</v>
      </c>
      <c r="K566" s="212" t="s">
        <v>345</v>
      </c>
      <c r="L566" s="212" t="s">
        <v>347</v>
      </c>
      <c r="M566" s="215" t="s">
        <v>571</v>
      </c>
      <c r="N566" s="289"/>
      <c r="O566" s="289"/>
      <c r="P566" s="289"/>
      <c r="Q566" s="289"/>
      <c r="R566" s="289"/>
      <c r="S566" s="232">
        <v>19.542120000000001</v>
      </c>
      <c r="T566" s="388">
        <v>27.022629999999999</v>
      </c>
      <c r="U566" s="212" t="s">
        <v>309</v>
      </c>
      <c r="V566" s="212" t="s">
        <v>557</v>
      </c>
      <c r="W566" s="218" t="s">
        <v>1193</v>
      </c>
      <c r="X566" s="73" t="s">
        <v>246</v>
      </c>
      <c r="Y566" s="389"/>
      <c r="Z566" s="67"/>
      <c r="AA566" s="67"/>
      <c r="AB566" s="67"/>
      <c r="AC566" s="67"/>
    </row>
    <row r="567" spans="2:29">
      <c r="B567" s="166"/>
      <c r="C567" s="173"/>
      <c r="D567" s="212">
        <v>3</v>
      </c>
      <c r="E567" s="212" t="s">
        <v>411</v>
      </c>
      <c r="F567" s="212" t="str">
        <f t="shared" si="53"/>
        <v>3 - Upstream/Downstream Transportation and Distribution</v>
      </c>
      <c r="G567" s="248" t="s">
        <v>307</v>
      </c>
      <c r="H567" s="212" t="s">
        <v>347</v>
      </c>
      <c r="I567" s="212" t="s">
        <v>344</v>
      </c>
      <c r="J567" s="212" t="s">
        <v>308</v>
      </c>
      <c r="K567" s="212" t="s">
        <v>207</v>
      </c>
      <c r="L567" s="212" t="s">
        <v>347</v>
      </c>
      <c r="M567" s="215" t="s">
        <v>572</v>
      </c>
      <c r="N567" s="289"/>
      <c r="O567" s="289"/>
      <c r="P567" s="289"/>
      <c r="Q567" s="289"/>
      <c r="R567" s="289"/>
      <c r="S567" s="232">
        <v>6.2239999999999997E-2</v>
      </c>
      <c r="T567" s="388">
        <v>6.2530000000000002E-2</v>
      </c>
      <c r="U567" s="212" t="s">
        <v>204</v>
      </c>
      <c r="V567" s="212" t="s">
        <v>562</v>
      </c>
      <c r="W567" s="218" t="s">
        <v>1264</v>
      </c>
      <c r="X567" s="73" t="s">
        <v>246</v>
      </c>
      <c r="Y567" s="389"/>
      <c r="Z567" s="67"/>
      <c r="AA567" s="67"/>
      <c r="AB567" s="67"/>
      <c r="AC567" s="67"/>
    </row>
    <row r="568" spans="2:29">
      <c r="B568" s="166"/>
      <c r="C568" s="173"/>
      <c r="D568" s="212">
        <v>3</v>
      </c>
      <c r="E568" s="212" t="s">
        <v>411</v>
      </c>
      <c r="F568" s="212" t="str">
        <f t="shared" si="53"/>
        <v>3 - Upstream/Downstream Transportation and Distribution</v>
      </c>
      <c r="G568" s="248" t="s">
        <v>307</v>
      </c>
      <c r="H568" s="212" t="s">
        <v>352</v>
      </c>
      <c r="I568" s="212"/>
      <c r="J568" s="212" t="s">
        <v>308</v>
      </c>
      <c r="K568" s="212" t="s">
        <v>353</v>
      </c>
      <c r="L568" s="212" t="s">
        <v>352</v>
      </c>
      <c r="M568" s="215" t="str">
        <f>K568&amp;L568</f>
        <v>AvGasAir traffic, Dom. &lt; 3000 ft.</v>
      </c>
      <c r="N568" s="289"/>
      <c r="O568" s="289"/>
      <c r="P568" s="289"/>
      <c r="Q568" s="289"/>
      <c r="R568" s="289"/>
      <c r="S568" s="232">
        <v>6.2239999999999997E-2</v>
      </c>
      <c r="T568" s="388">
        <v>6.2530000000000002E-2</v>
      </c>
      <c r="U568" s="212" t="s">
        <v>204</v>
      </c>
      <c r="V568" s="212" t="s">
        <v>587</v>
      </c>
      <c r="W568" s="218" t="s">
        <v>1265</v>
      </c>
      <c r="X568" s="73" t="s">
        <v>246</v>
      </c>
      <c r="Y568" s="389"/>
      <c r="Z568" s="67"/>
      <c r="AA568" s="67"/>
      <c r="AB568" s="67"/>
      <c r="AC568" s="67"/>
    </row>
    <row r="569" spans="2:29">
      <c r="B569" s="166"/>
      <c r="C569" s="173"/>
      <c r="D569" s="212">
        <v>3</v>
      </c>
      <c r="E569" s="212" t="s">
        <v>411</v>
      </c>
      <c r="F569" s="212" t="str">
        <f t="shared" si="53"/>
        <v>3 - Upstream/Downstream Transportation and Distribution</v>
      </c>
      <c r="G569" s="248" t="s">
        <v>307</v>
      </c>
      <c r="H569" s="212" t="s">
        <v>325</v>
      </c>
      <c r="I569" s="212"/>
      <c r="J569" s="212" t="s">
        <v>308</v>
      </c>
      <c r="K569" s="212" t="s">
        <v>345</v>
      </c>
      <c r="L569" s="212" t="s">
        <v>325</v>
      </c>
      <c r="M569" s="215" t="s">
        <v>573</v>
      </c>
      <c r="N569" s="289"/>
      <c r="O569" s="289"/>
      <c r="P569" s="289"/>
      <c r="Q569" s="289"/>
      <c r="R569" s="289"/>
      <c r="S569" s="232">
        <v>19.542120000000001</v>
      </c>
      <c r="T569" s="388">
        <v>27.022629999999999</v>
      </c>
      <c r="U569" s="212" t="s">
        <v>309</v>
      </c>
      <c r="V569" s="212" t="s">
        <v>557</v>
      </c>
      <c r="W569" s="218" t="s">
        <v>1193</v>
      </c>
      <c r="X569" s="73" t="s">
        <v>246</v>
      </c>
      <c r="Y569" s="389"/>
      <c r="Z569" s="67"/>
      <c r="AA569" s="67"/>
      <c r="AB569" s="67"/>
      <c r="AC569" s="67"/>
    </row>
    <row r="570" spans="2:29">
      <c r="B570" s="166"/>
      <c r="C570" s="173"/>
      <c r="D570" s="212">
        <v>3</v>
      </c>
      <c r="E570" s="212" t="s">
        <v>411</v>
      </c>
      <c r="F570" s="212" t="str">
        <f t="shared" si="53"/>
        <v>3 - Upstream/Downstream Transportation and Distribution</v>
      </c>
      <c r="G570" s="248" t="s">
        <v>307</v>
      </c>
      <c r="H570" s="212" t="s">
        <v>325</v>
      </c>
      <c r="I570" s="212"/>
      <c r="J570" s="212" t="s">
        <v>308</v>
      </c>
      <c r="K570" s="212" t="s">
        <v>203</v>
      </c>
      <c r="L570" s="212" t="s">
        <v>325</v>
      </c>
      <c r="M570" s="215" t="s">
        <v>574</v>
      </c>
      <c r="N570" s="289"/>
      <c r="O570" s="289"/>
      <c r="P570" s="289"/>
      <c r="Q570" s="289"/>
      <c r="R570" s="289"/>
      <c r="S570" s="232">
        <v>5.8880000000000002E-2</v>
      </c>
      <c r="T570" s="388">
        <v>5.9130000000000002E-2</v>
      </c>
      <c r="U570" s="212" t="s">
        <v>204</v>
      </c>
      <c r="V570" s="212" t="s">
        <v>550</v>
      </c>
      <c r="W570" s="218" t="s">
        <v>1262</v>
      </c>
      <c r="X570" s="73" t="s">
        <v>246</v>
      </c>
      <c r="Y570" s="389"/>
      <c r="Z570" s="67"/>
      <c r="AA570" s="67"/>
      <c r="AB570" s="67"/>
      <c r="AC570" s="67"/>
    </row>
    <row r="571" spans="2:29">
      <c r="B571" s="166"/>
      <c r="C571" s="173"/>
      <c r="D571" s="212">
        <v>3</v>
      </c>
      <c r="E571" s="212" t="s">
        <v>411</v>
      </c>
      <c r="F571" s="212" t="str">
        <f t="shared" si="53"/>
        <v>3 - Upstream/Downstream Transportation and Distribution</v>
      </c>
      <c r="G571" s="248" t="s">
        <v>307</v>
      </c>
      <c r="H571" s="212" t="s">
        <v>325</v>
      </c>
      <c r="I571" s="212"/>
      <c r="J571" s="212" t="s">
        <v>308</v>
      </c>
      <c r="K571" s="212" t="s">
        <v>207</v>
      </c>
      <c r="L571" s="212" t="s">
        <v>325</v>
      </c>
      <c r="M571" s="215" t="s">
        <v>575</v>
      </c>
      <c r="N571" s="289"/>
      <c r="O571" s="289"/>
      <c r="P571" s="289"/>
      <c r="Q571" s="289"/>
      <c r="R571" s="289"/>
      <c r="S571" s="232">
        <v>6.2239999999999997E-2</v>
      </c>
      <c r="T571" s="388">
        <v>6.2530000000000002E-2</v>
      </c>
      <c r="U571" s="212" t="s">
        <v>204</v>
      </c>
      <c r="V571" s="212" t="s">
        <v>562</v>
      </c>
      <c r="W571" s="218" t="s">
        <v>1264</v>
      </c>
      <c r="X571" s="73" t="s">
        <v>246</v>
      </c>
      <c r="Y571" s="389"/>
      <c r="Z571" s="67"/>
      <c r="AA571" s="67"/>
      <c r="AB571" s="67"/>
      <c r="AC571" s="67"/>
    </row>
    <row r="572" spans="2:29">
      <c r="B572" s="166"/>
      <c r="C572" s="173"/>
      <c r="D572" s="212">
        <v>3</v>
      </c>
      <c r="E572" s="212" t="s">
        <v>411</v>
      </c>
      <c r="F572" s="212" t="str">
        <f t="shared" si="53"/>
        <v>3 - Upstream/Downstream Transportation and Distribution</v>
      </c>
      <c r="G572" s="248" t="s">
        <v>307</v>
      </c>
      <c r="H572" s="212" t="s">
        <v>348</v>
      </c>
      <c r="I572" s="212"/>
      <c r="J572" s="212" t="s">
        <v>308</v>
      </c>
      <c r="K572" s="212" t="s">
        <v>345</v>
      </c>
      <c r="L572" s="212" t="s">
        <v>348</v>
      </c>
      <c r="M572" s="215" t="s">
        <v>576</v>
      </c>
      <c r="N572" s="289"/>
      <c r="O572" s="289"/>
      <c r="P572" s="289"/>
      <c r="Q572" s="289"/>
      <c r="R572" s="289"/>
      <c r="S572" s="232">
        <v>19.542120000000001</v>
      </c>
      <c r="T572" s="388">
        <v>27.022629999999999</v>
      </c>
      <c r="U572" s="212" t="s">
        <v>309</v>
      </c>
      <c r="V572" s="212" t="s">
        <v>557</v>
      </c>
      <c r="W572" s="218" t="s">
        <v>1193</v>
      </c>
      <c r="X572" s="73" t="s">
        <v>246</v>
      </c>
      <c r="Y572" s="389"/>
      <c r="Z572" s="67"/>
      <c r="AA572" s="67"/>
      <c r="AB572" s="67"/>
      <c r="AC572" s="67"/>
    </row>
    <row r="573" spans="2:29">
      <c r="B573" s="166"/>
      <c r="C573" s="173"/>
      <c r="D573" s="212">
        <v>3</v>
      </c>
      <c r="E573" s="212" t="s">
        <v>411</v>
      </c>
      <c r="F573" s="212" t="str">
        <f t="shared" si="53"/>
        <v>3 - Upstream/Downstream Transportation and Distribution</v>
      </c>
      <c r="G573" s="248" t="s">
        <v>307</v>
      </c>
      <c r="H573" s="212" t="s">
        <v>348</v>
      </c>
      <c r="I573" s="212"/>
      <c r="J573" s="212" t="s">
        <v>308</v>
      </c>
      <c r="K573" s="212" t="s">
        <v>203</v>
      </c>
      <c r="L573" s="212" t="s">
        <v>348</v>
      </c>
      <c r="M573" s="215" t="s">
        <v>577</v>
      </c>
      <c r="N573" s="289"/>
      <c r="O573" s="289"/>
      <c r="P573" s="289"/>
      <c r="Q573" s="289"/>
      <c r="R573" s="289"/>
      <c r="S573" s="232">
        <v>5.8880000000000002E-2</v>
      </c>
      <c r="T573" s="388">
        <v>5.9130000000000002E-2</v>
      </c>
      <c r="U573" s="212" t="s">
        <v>204</v>
      </c>
      <c r="V573" s="212" t="s">
        <v>550</v>
      </c>
      <c r="W573" s="218" t="s">
        <v>1262</v>
      </c>
      <c r="X573" s="73" t="s">
        <v>246</v>
      </c>
      <c r="Y573" s="389"/>
      <c r="Z573" s="67"/>
      <c r="AA573" s="67"/>
      <c r="AB573" s="67"/>
      <c r="AC573" s="67"/>
    </row>
    <row r="574" spans="2:29">
      <c r="B574" s="166"/>
      <c r="C574" s="173"/>
      <c r="D574" s="212">
        <v>3</v>
      </c>
      <c r="E574" s="212" t="s">
        <v>411</v>
      </c>
      <c r="F574" s="212" t="str">
        <f t="shared" si="53"/>
        <v>3 - Upstream/Downstream Transportation and Distribution</v>
      </c>
      <c r="G574" s="248" t="s">
        <v>307</v>
      </c>
      <c r="H574" s="212" t="s">
        <v>348</v>
      </c>
      <c r="I574" s="212"/>
      <c r="J574" s="212" t="s">
        <v>308</v>
      </c>
      <c r="K574" s="212" t="s">
        <v>207</v>
      </c>
      <c r="L574" s="212" t="s">
        <v>348</v>
      </c>
      <c r="M574" s="215" t="s">
        <v>578</v>
      </c>
      <c r="N574" s="289"/>
      <c r="O574" s="289"/>
      <c r="P574" s="289"/>
      <c r="Q574" s="289"/>
      <c r="R574" s="289"/>
      <c r="S574" s="232">
        <v>6.2239999999999997E-2</v>
      </c>
      <c r="T574" s="388">
        <v>6.2530000000000002E-2</v>
      </c>
      <c r="U574" s="212" t="s">
        <v>204</v>
      </c>
      <c r="V574" s="212" t="s">
        <v>562</v>
      </c>
      <c r="W574" s="218" t="s">
        <v>1264</v>
      </c>
      <c r="X574" s="73" t="s">
        <v>246</v>
      </c>
      <c r="Y574" s="389"/>
      <c r="Z574" s="67"/>
      <c r="AA574" s="67"/>
      <c r="AB574" s="67"/>
      <c r="AC574" s="67"/>
    </row>
    <row r="575" spans="2:29">
      <c r="B575" s="166"/>
      <c r="C575" s="173"/>
      <c r="D575" s="212">
        <v>3</v>
      </c>
      <c r="E575" s="212" t="s">
        <v>411</v>
      </c>
      <c r="F575" s="212" t="str">
        <f t="shared" si="53"/>
        <v>3 - Upstream/Downstream Transportation and Distribution</v>
      </c>
      <c r="G575" s="248" t="s">
        <v>307</v>
      </c>
      <c r="H575" s="212" t="s">
        <v>349</v>
      </c>
      <c r="I575" s="212"/>
      <c r="J575" s="212" t="s">
        <v>308</v>
      </c>
      <c r="K575" s="212" t="s">
        <v>345</v>
      </c>
      <c r="L575" s="212" t="s">
        <v>322</v>
      </c>
      <c r="M575" s="215" t="s">
        <v>579</v>
      </c>
      <c r="N575" s="289"/>
      <c r="O575" s="289"/>
      <c r="P575" s="289"/>
      <c r="Q575" s="289"/>
      <c r="R575" s="289"/>
      <c r="S575" s="232">
        <v>19.542120000000001</v>
      </c>
      <c r="T575" s="388">
        <v>27.022629999999999</v>
      </c>
      <c r="U575" s="212" t="s">
        <v>309</v>
      </c>
      <c r="V575" s="212" t="s">
        <v>557</v>
      </c>
      <c r="W575" s="218" t="s">
        <v>1193</v>
      </c>
      <c r="X575" s="73" t="s">
        <v>246</v>
      </c>
      <c r="Y575" s="389"/>
      <c r="Z575" s="67"/>
      <c r="AA575" s="67"/>
      <c r="AB575" s="67"/>
      <c r="AC575" s="67"/>
    </row>
    <row r="576" spans="2:29">
      <c r="B576" s="166"/>
      <c r="C576" s="173"/>
      <c r="D576" s="212">
        <v>3</v>
      </c>
      <c r="E576" s="212" t="s">
        <v>411</v>
      </c>
      <c r="F576" s="212" t="str">
        <f t="shared" si="53"/>
        <v>3 - Upstream/Downstream Transportation and Distribution</v>
      </c>
      <c r="G576" s="248" t="s">
        <v>307</v>
      </c>
      <c r="H576" s="212" t="s">
        <v>349</v>
      </c>
      <c r="I576" s="212"/>
      <c r="J576" s="212" t="s">
        <v>308</v>
      </c>
      <c r="K576" s="212" t="s">
        <v>203</v>
      </c>
      <c r="L576" s="212" t="s">
        <v>322</v>
      </c>
      <c r="M576" s="215" t="s">
        <v>580</v>
      </c>
      <c r="N576" s="289"/>
      <c r="O576" s="289"/>
      <c r="P576" s="289"/>
      <c r="Q576" s="289"/>
      <c r="R576" s="289"/>
      <c r="S576" s="232">
        <v>5.8880000000000002E-2</v>
      </c>
      <c r="T576" s="388">
        <v>5.9130000000000002E-2</v>
      </c>
      <c r="U576" s="212" t="s">
        <v>204</v>
      </c>
      <c r="V576" s="212" t="s">
        <v>550</v>
      </c>
      <c r="W576" s="218" t="s">
        <v>1262</v>
      </c>
      <c r="X576" s="73" t="s">
        <v>246</v>
      </c>
      <c r="Y576" s="389"/>
      <c r="Z576" s="67"/>
      <c r="AA576" s="67"/>
      <c r="AB576" s="67"/>
      <c r="AC576" s="67"/>
    </row>
    <row r="577" spans="2:29">
      <c r="B577" s="166"/>
      <c r="C577" s="173"/>
      <c r="D577" s="212">
        <v>3</v>
      </c>
      <c r="E577" s="212" t="s">
        <v>411</v>
      </c>
      <c r="F577" s="212" t="str">
        <f t="shared" si="53"/>
        <v>3 - Upstream/Downstream Transportation and Distribution</v>
      </c>
      <c r="G577" s="248" t="s">
        <v>307</v>
      </c>
      <c r="H577" s="212" t="s">
        <v>349</v>
      </c>
      <c r="I577" s="212"/>
      <c r="J577" s="212" t="s">
        <v>308</v>
      </c>
      <c r="K577" s="212" t="s">
        <v>207</v>
      </c>
      <c r="L577" s="212" t="s">
        <v>322</v>
      </c>
      <c r="M577" s="215" t="s">
        <v>581</v>
      </c>
      <c r="N577" s="289"/>
      <c r="O577" s="289"/>
      <c r="P577" s="289"/>
      <c r="Q577" s="289"/>
      <c r="R577" s="289"/>
      <c r="S577" s="232">
        <v>6.2239999999999997E-2</v>
      </c>
      <c r="T577" s="388">
        <v>6.2530000000000002E-2</v>
      </c>
      <c r="U577" s="212" t="s">
        <v>204</v>
      </c>
      <c r="V577" s="212" t="s">
        <v>562</v>
      </c>
      <c r="W577" s="218" t="s">
        <v>1264</v>
      </c>
      <c r="X577" s="73" t="s">
        <v>246</v>
      </c>
      <c r="Y577" s="389"/>
      <c r="Z577" s="67"/>
      <c r="AA577" s="67"/>
      <c r="AB577" s="67"/>
      <c r="AC577" s="67"/>
    </row>
    <row r="578" spans="2:29">
      <c r="B578" s="166"/>
      <c r="C578" s="173"/>
      <c r="D578" s="212">
        <v>3</v>
      </c>
      <c r="E578" s="212" t="s">
        <v>411</v>
      </c>
      <c r="F578" s="212" t="str">
        <f t="shared" si="53"/>
        <v>3 - Upstream/Downstream Transportation and Distribution</v>
      </c>
      <c r="G578" s="248" t="s">
        <v>307</v>
      </c>
      <c r="H578" s="212" t="s">
        <v>350</v>
      </c>
      <c r="I578" s="212"/>
      <c r="J578" s="212" t="s">
        <v>308</v>
      </c>
      <c r="K578" s="212" t="s">
        <v>345</v>
      </c>
      <c r="L578" s="212" t="s">
        <v>324</v>
      </c>
      <c r="M578" s="215" t="s">
        <v>582</v>
      </c>
      <c r="N578" s="289"/>
      <c r="O578" s="289"/>
      <c r="P578" s="289"/>
      <c r="Q578" s="289"/>
      <c r="R578" s="289"/>
      <c r="S578" s="232">
        <v>19.542120000000001</v>
      </c>
      <c r="T578" s="388">
        <v>27.022629999999999</v>
      </c>
      <c r="U578" s="212" t="s">
        <v>309</v>
      </c>
      <c r="V578" s="212" t="s">
        <v>557</v>
      </c>
      <c r="W578" s="218" t="s">
        <v>1193</v>
      </c>
      <c r="X578" s="73" t="s">
        <v>246</v>
      </c>
      <c r="Y578" s="389"/>
      <c r="Z578" s="67"/>
      <c r="AA578" s="67"/>
      <c r="AB578" s="67"/>
      <c r="AC578" s="67"/>
    </row>
    <row r="579" spans="2:29">
      <c r="B579" s="166"/>
      <c r="C579" s="173"/>
      <c r="D579" s="212">
        <v>3</v>
      </c>
      <c r="E579" s="212" t="s">
        <v>411</v>
      </c>
      <c r="F579" s="212" t="str">
        <f t="shared" si="53"/>
        <v>3 - Upstream/Downstream Transportation and Distribution</v>
      </c>
      <c r="G579" s="248" t="s">
        <v>307</v>
      </c>
      <c r="H579" s="212" t="s">
        <v>350</v>
      </c>
      <c r="I579" s="212"/>
      <c r="J579" s="212" t="s">
        <v>308</v>
      </c>
      <c r="K579" s="212" t="s">
        <v>207</v>
      </c>
      <c r="L579" s="212" t="s">
        <v>324</v>
      </c>
      <c r="M579" s="215" t="s">
        <v>583</v>
      </c>
      <c r="N579" s="289"/>
      <c r="O579" s="289"/>
      <c r="P579" s="289"/>
      <c r="Q579" s="289"/>
      <c r="R579" s="289"/>
      <c r="S579" s="232">
        <v>6.2239999999999997E-2</v>
      </c>
      <c r="T579" s="388">
        <v>6.2530000000000002E-2</v>
      </c>
      <c r="U579" s="212" t="s">
        <v>204</v>
      </c>
      <c r="V579" s="212" t="s">
        <v>562</v>
      </c>
      <c r="W579" s="218" t="s">
        <v>1264</v>
      </c>
      <c r="X579" s="73" t="s">
        <v>246</v>
      </c>
      <c r="Y579" s="389"/>
      <c r="Z579" s="67"/>
      <c r="AA579" s="67"/>
      <c r="AB579" s="67"/>
      <c r="AC579" s="67"/>
    </row>
    <row r="580" spans="2:29">
      <c r="B580" s="166"/>
      <c r="C580" s="173"/>
      <c r="D580" s="212">
        <v>3</v>
      </c>
      <c r="E580" s="212" t="s">
        <v>411</v>
      </c>
      <c r="F580" s="212" t="str">
        <f t="shared" si="53"/>
        <v>3 - Upstream/Downstream Transportation and Distribution</v>
      </c>
      <c r="G580" s="248" t="s">
        <v>307</v>
      </c>
      <c r="H580" s="212" t="s">
        <v>351</v>
      </c>
      <c r="I580" s="212"/>
      <c r="J580" s="212" t="s">
        <v>308</v>
      </c>
      <c r="K580" s="212" t="s">
        <v>345</v>
      </c>
      <c r="L580" s="212" t="s">
        <v>323</v>
      </c>
      <c r="M580" s="215" t="s">
        <v>584</v>
      </c>
      <c r="N580" s="289"/>
      <c r="O580" s="289"/>
      <c r="P580" s="289"/>
      <c r="Q580" s="289"/>
      <c r="R580" s="289"/>
      <c r="S580" s="232">
        <v>19.542120000000001</v>
      </c>
      <c r="T580" s="388">
        <v>27.022629999999999</v>
      </c>
      <c r="U580" s="212" t="s">
        <v>309</v>
      </c>
      <c r="V580" s="212" t="s">
        <v>557</v>
      </c>
      <c r="W580" s="218" t="s">
        <v>1193</v>
      </c>
      <c r="X580" s="73" t="s">
        <v>246</v>
      </c>
      <c r="Y580" s="389"/>
      <c r="Z580" s="67"/>
      <c r="AA580" s="67"/>
      <c r="AB580" s="67"/>
      <c r="AC580" s="67"/>
    </row>
    <row r="581" spans="2:29">
      <c r="B581" s="166"/>
      <c r="C581" s="173"/>
      <c r="D581" s="212">
        <v>3</v>
      </c>
      <c r="E581" s="212" t="s">
        <v>411</v>
      </c>
      <c r="F581" s="212" t="str">
        <f t="shared" si="53"/>
        <v>3 - Upstream/Downstream Transportation and Distribution</v>
      </c>
      <c r="G581" s="248" t="s">
        <v>307</v>
      </c>
      <c r="H581" s="212" t="s">
        <v>351</v>
      </c>
      <c r="I581" s="212"/>
      <c r="J581" s="212" t="s">
        <v>308</v>
      </c>
      <c r="K581" s="212" t="s">
        <v>203</v>
      </c>
      <c r="L581" s="212" t="s">
        <v>323</v>
      </c>
      <c r="M581" s="215" t="s">
        <v>585</v>
      </c>
      <c r="N581" s="289"/>
      <c r="O581" s="289"/>
      <c r="P581" s="289"/>
      <c r="Q581" s="289"/>
      <c r="R581" s="289"/>
      <c r="S581" s="232">
        <v>5.8880000000000002E-2</v>
      </c>
      <c r="T581" s="388">
        <v>5.9130000000000002E-2</v>
      </c>
      <c r="U581" s="212" t="s">
        <v>204</v>
      </c>
      <c r="V581" s="212" t="s">
        <v>550</v>
      </c>
      <c r="W581" s="218" t="s">
        <v>1262</v>
      </c>
      <c r="X581" s="73" t="s">
        <v>246</v>
      </c>
      <c r="Y581" s="389"/>
      <c r="Z581" s="67"/>
      <c r="AA581" s="67"/>
      <c r="AB581" s="67"/>
      <c r="AC581" s="67"/>
    </row>
    <row r="582" spans="2:29">
      <c r="B582" s="166"/>
      <c r="C582" s="173"/>
      <c r="D582" s="212">
        <v>3</v>
      </c>
      <c r="E582" s="212" t="s">
        <v>411</v>
      </c>
      <c r="F582" s="212" t="str">
        <f t="shared" si="53"/>
        <v>3 - Upstream/Downstream Transportation and Distribution</v>
      </c>
      <c r="G582" s="248" t="s">
        <v>307</v>
      </c>
      <c r="H582" s="212" t="s">
        <v>351</v>
      </c>
      <c r="I582" s="212"/>
      <c r="J582" s="212" t="s">
        <v>308</v>
      </c>
      <c r="K582" s="212" t="s">
        <v>207</v>
      </c>
      <c r="L582" s="212" t="s">
        <v>323</v>
      </c>
      <c r="M582" s="215" t="s">
        <v>586</v>
      </c>
      <c r="N582" s="289"/>
      <c r="O582" s="289"/>
      <c r="P582" s="289"/>
      <c r="Q582" s="289"/>
      <c r="R582" s="289"/>
      <c r="S582" s="232">
        <v>6.2239999999999997E-2</v>
      </c>
      <c r="T582" s="388">
        <v>6.2530000000000002E-2</v>
      </c>
      <c r="U582" s="212" t="s">
        <v>204</v>
      </c>
      <c r="V582" s="212" t="s">
        <v>562</v>
      </c>
      <c r="W582" s="218" t="s">
        <v>1264</v>
      </c>
      <c r="X582" s="73" t="s">
        <v>246</v>
      </c>
      <c r="Y582" s="389"/>
      <c r="Z582" s="67"/>
      <c r="AA582" s="67"/>
      <c r="AB582" s="67"/>
      <c r="AC582" s="67"/>
    </row>
    <row r="583" spans="2:29">
      <c r="B583" s="166"/>
      <c r="C583" s="173"/>
      <c r="D583" s="212">
        <v>3</v>
      </c>
      <c r="E583" s="212" t="s">
        <v>411</v>
      </c>
      <c r="F583" s="212" t="str">
        <f t="shared" si="53"/>
        <v>3 - Upstream/Downstream Transportation and Distribution</v>
      </c>
      <c r="G583" s="248" t="s">
        <v>307</v>
      </c>
      <c r="H583" s="212" t="s">
        <v>352</v>
      </c>
      <c r="I583" s="212"/>
      <c r="J583" s="212" t="s">
        <v>308</v>
      </c>
      <c r="K583" s="212" t="s">
        <v>353</v>
      </c>
      <c r="L583" s="212" t="s">
        <v>352</v>
      </c>
      <c r="M583" s="215" t="str">
        <f>K583&amp;L583</f>
        <v>AvGasAir traffic, Dom. &lt; 3000 ft.</v>
      </c>
      <c r="N583" s="289"/>
      <c r="O583" s="289"/>
      <c r="P583" s="289"/>
      <c r="Q583" s="289"/>
      <c r="R583" s="289"/>
      <c r="S583" s="232">
        <v>6.2239999999999997E-2</v>
      </c>
      <c r="T583" s="388">
        <v>6.2530000000000002E-2</v>
      </c>
      <c r="U583" s="212" t="s">
        <v>204</v>
      </c>
      <c r="V583" s="212" t="s">
        <v>587</v>
      </c>
      <c r="W583" s="218" t="s">
        <v>1265</v>
      </c>
      <c r="X583" s="73" t="s">
        <v>246</v>
      </c>
      <c r="Y583" s="389"/>
      <c r="Z583" s="67"/>
      <c r="AA583" s="67"/>
      <c r="AB583" s="67"/>
      <c r="AC583" s="67"/>
    </row>
    <row r="584" spans="2:29">
      <c r="B584" s="166"/>
      <c r="C584" s="173"/>
      <c r="D584" s="212">
        <v>3</v>
      </c>
      <c r="E584" s="212" t="s">
        <v>411</v>
      </c>
      <c r="F584" s="212" t="str">
        <f t="shared" si="53"/>
        <v>3 - Upstream/Downstream Transportation and Distribution</v>
      </c>
      <c r="G584" s="248" t="s">
        <v>307</v>
      </c>
      <c r="H584" s="212" t="s">
        <v>352</v>
      </c>
      <c r="I584" s="212"/>
      <c r="J584" s="212" t="s">
        <v>308</v>
      </c>
      <c r="K584" s="212" t="s">
        <v>354</v>
      </c>
      <c r="L584" s="212" t="s">
        <v>352</v>
      </c>
      <c r="M584" s="215" t="s">
        <v>588</v>
      </c>
      <c r="N584" s="289"/>
      <c r="O584" s="289"/>
      <c r="P584" s="289"/>
      <c r="Q584" s="289"/>
      <c r="R584" s="289"/>
      <c r="S584" s="232">
        <v>5.1299999999999998E-2</v>
      </c>
      <c r="T584" s="388">
        <v>5.1529999999999999E-2</v>
      </c>
      <c r="U584" s="212" t="s">
        <v>204</v>
      </c>
      <c r="V584" s="212" t="s">
        <v>589</v>
      </c>
      <c r="W584" s="218" t="s">
        <v>1266</v>
      </c>
      <c r="X584" s="73" t="s">
        <v>246</v>
      </c>
      <c r="Y584" s="389"/>
      <c r="Z584" s="67"/>
      <c r="AA584" s="67"/>
      <c r="AB584" s="67"/>
      <c r="AC584" s="67"/>
    </row>
    <row r="585" spans="2:29">
      <c r="B585" s="166"/>
      <c r="C585" s="173"/>
      <c r="D585" s="212">
        <v>3</v>
      </c>
      <c r="E585" s="212" t="s">
        <v>411</v>
      </c>
      <c r="F585" s="212" t="str">
        <f t="shared" si="53"/>
        <v>3 - Upstream/Downstream Transportation and Distribution</v>
      </c>
      <c r="G585" s="248" t="s">
        <v>307</v>
      </c>
      <c r="H585" s="212" t="s">
        <v>355</v>
      </c>
      <c r="I585" s="212"/>
      <c r="J585" s="212" t="s">
        <v>308</v>
      </c>
      <c r="K585" s="212" t="s">
        <v>354</v>
      </c>
      <c r="L585" s="212" t="s">
        <v>355</v>
      </c>
      <c r="M585" s="215" t="s">
        <v>590</v>
      </c>
      <c r="N585" s="289"/>
      <c r="O585" s="289"/>
      <c r="P585" s="289"/>
      <c r="Q585" s="289"/>
      <c r="R585" s="289"/>
      <c r="S585" s="232">
        <v>5.1299999999999998E-2</v>
      </c>
      <c r="T585" s="388">
        <v>5.1529999999999999E-2</v>
      </c>
      <c r="U585" s="212" t="s">
        <v>204</v>
      </c>
      <c r="V585" s="212" t="s">
        <v>589</v>
      </c>
      <c r="W585" s="218" t="s">
        <v>1266</v>
      </c>
      <c r="X585" s="73" t="s">
        <v>246</v>
      </c>
      <c r="Y585" s="389"/>
      <c r="Z585" s="67"/>
      <c r="AA585" s="67"/>
      <c r="AB585" s="67"/>
      <c r="AC585" s="67"/>
    </row>
    <row r="586" spans="2:29">
      <c r="B586" s="166"/>
      <c r="C586" s="173"/>
      <c r="D586" s="212">
        <v>3</v>
      </c>
      <c r="E586" s="212" t="s">
        <v>411</v>
      </c>
      <c r="F586" s="212" t="str">
        <f t="shared" si="53"/>
        <v>3 - Upstream/Downstream Transportation and Distribution</v>
      </c>
      <c r="G586" s="248" t="s">
        <v>307</v>
      </c>
      <c r="H586" s="212" t="s">
        <v>356</v>
      </c>
      <c r="I586" s="212"/>
      <c r="J586" s="212" t="s">
        <v>308</v>
      </c>
      <c r="K586" s="212" t="s">
        <v>354</v>
      </c>
      <c r="L586" s="212" t="s">
        <v>356</v>
      </c>
      <c r="M586" s="215" t="s">
        <v>591</v>
      </c>
      <c r="N586" s="289"/>
      <c r="O586" s="289"/>
      <c r="P586" s="289"/>
      <c r="Q586" s="289"/>
      <c r="R586" s="289"/>
      <c r="S586" s="232">
        <v>5.1299999999999998E-2</v>
      </c>
      <c r="T586" s="388">
        <v>5.1529999999999999E-2</v>
      </c>
      <c r="U586" s="212" t="s">
        <v>204</v>
      </c>
      <c r="V586" s="212" t="s">
        <v>589</v>
      </c>
      <c r="W586" s="218" t="s">
        <v>1266</v>
      </c>
      <c r="X586" s="73" t="s">
        <v>246</v>
      </c>
      <c r="Y586" s="389"/>
      <c r="Z586" s="67"/>
      <c r="AA586" s="67"/>
      <c r="AB586" s="67"/>
      <c r="AC586" s="67"/>
    </row>
    <row r="587" spans="2:29">
      <c r="B587" s="166"/>
      <c r="C587" s="173"/>
      <c r="D587" s="212">
        <v>3</v>
      </c>
      <c r="E587" s="212" t="s">
        <v>411</v>
      </c>
      <c r="F587" s="212" t="str">
        <f t="shared" si="53"/>
        <v>3 - Upstream/Downstream Transportation and Distribution</v>
      </c>
      <c r="G587" s="248" t="s">
        <v>307</v>
      </c>
      <c r="H587" s="212" t="s">
        <v>357</v>
      </c>
      <c r="I587" s="212"/>
      <c r="J587" s="212" t="s">
        <v>308</v>
      </c>
      <c r="K587" s="212" t="s">
        <v>354</v>
      </c>
      <c r="L587" s="212" t="s">
        <v>357</v>
      </c>
      <c r="M587" s="215" t="s">
        <v>592</v>
      </c>
      <c r="N587" s="289"/>
      <c r="O587" s="289"/>
      <c r="P587" s="289"/>
      <c r="Q587" s="289"/>
      <c r="R587" s="289"/>
      <c r="S587" s="232">
        <v>5.1299999999999998E-2</v>
      </c>
      <c r="T587" s="388">
        <v>5.1529999999999999E-2</v>
      </c>
      <c r="U587" s="212" t="s">
        <v>204</v>
      </c>
      <c r="V587" s="212" t="s">
        <v>589</v>
      </c>
      <c r="W587" s="218" t="s">
        <v>1266</v>
      </c>
      <c r="X587" s="73" t="s">
        <v>246</v>
      </c>
      <c r="Y587" s="389"/>
      <c r="Z587" s="67"/>
      <c r="AA587" s="67"/>
      <c r="AB587" s="67"/>
      <c r="AC587" s="67"/>
    </row>
    <row r="588" spans="2:29">
      <c r="B588" s="166"/>
      <c r="C588" s="173"/>
      <c r="D588" s="212">
        <v>3</v>
      </c>
      <c r="E588" s="212" t="s">
        <v>411</v>
      </c>
      <c r="F588" s="212" t="str">
        <f t="shared" si="53"/>
        <v>3 - Upstream/Downstream Transportation and Distribution</v>
      </c>
      <c r="G588" s="248" t="s">
        <v>307</v>
      </c>
      <c r="H588" s="212" t="s">
        <v>266</v>
      </c>
      <c r="I588" s="212"/>
      <c r="J588" s="212" t="s">
        <v>308</v>
      </c>
      <c r="K588" s="212" t="s">
        <v>358</v>
      </c>
      <c r="L588" s="212" t="s">
        <v>266</v>
      </c>
      <c r="M588" s="215" t="s">
        <v>601</v>
      </c>
      <c r="N588" s="289"/>
      <c r="O588" s="289"/>
      <c r="P588" s="289"/>
      <c r="Q588" s="289"/>
      <c r="R588" s="289"/>
      <c r="S588" s="232">
        <v>10.25</v>
      </c>
      <c r="T588" s="388">
        <v>8.11</v>
      </c>
      <c r="U588" s="212" t="s">
        <v>309</v>
      </c>
      <c r="V588" s="212" t="s">
        <v>594</v>
      </c>
      <c r="W588" s="218" t="s">
        <v>1195</v>
      </c>
      <c r="X588" s="73" t="s">
        <v>246</v>
      </c>
      <c r="Y588" s="389"/>
      <c r="Z588" s="67"/>
      <c r="AA588" s="67"/>
      <c r="AB588" s="67"/>
      <c r="AC588" s="67"/>
    </row>
    <row r="589" spans="2:29">
      <c r="B589" s="166"/>
      <c r="C589" s="173"/>
      <c r="D589" s="212">
        <v>3</v>
      </c>
      <c r="E589" s="212" t="s">
        <v>411</v>
      </c>
      <c r="F589" s="212" t="str">
        <f t="shared" si="53"/>
        <v>3 - Upstream/Downstream Transportation and Distribution</v>
      </c>
      <c r="G589" s="248" t="s">
        <v>307</v>
      </c>
      <c r="H589" s="212" t="s">
        <v>266</v>
      </c>
      <c r="I589" s="212"/>
      <c r="J589" s="212" t="s">
        <v>308</v>
      </c>
      <c r="K589" s="212" t="s">
        <v>358</v>
      </c>
      <c r="L589" s="212" t="s">
        <v>266</v>
      </c>
      <c r="M589" s="215" t="s">
        <v>601</v>
      </c>
      <c r="N589" s="289"/>
      <c r="O589" s="289"/>
      <c r="P589" s="289"/>
      <c r="Q589" s="289"/>
      <c r="R589" s="289"/>
      <c r="S589" s="232">
        <v>10.25</v>
      </c>
      <c r="T589" s="388">
        <v>8.11</v>
      </c>
      <c r="U589" s="212" t="s">
        <v>309</v>
      </c>
      <c r="V589" s="212" t="s">
        <v>594</v>
      </c>
      <c r="W589" s="218" t="s">
        <v>1195</v>
      </c>
      <c r="X589" s="73" t="s">
        <v>246</v>
      </c>
      <c r="Y589" s="389"/>
      <c r="Z589" s="67"/>
      <c r="AA589" s="67"/>
      <c r="AB589" s="67"/>
      <c r="AC589" s="67"/>
    </row>
    <row r="590" spans="2:29">
      <c r="B590" s="166"/>
      <c r="C590" s="173"/>
      <c r="D590" s="212">
        <v>3</v>
      </c>
      <c r="E590" s="212" t="s">
        <v>411</v>
      </c>
      <c r="F590" s="212" t="str">
        <f t="shared" si="53"/>
        <v>3 - Upstream/Downstream Transportation and Distribution</v>
      </c>
      <c r="G590" s="248" t="s">
        <v>307</v>
      </c>
      <c r="H590" s="212" t="s">
        <v>266</v>
      </c>
      <c r="I590" s="212"/>
      <c r="J590" s="212" t="s">
        <v>308</v>
      </c>
      <c r="K590" s="212" t="s">
        <v>358</v>
      </c>
      <c r="L590" s="212" t="s">
        <v>266</v>
      </c>
      <c r="M590" s="215" t="s">
        <v>601</v>
      </c>
      <c r="N590" s="289"/>
      <c r="O590" s="289"/>
      <c r="P590" s="289"/>
      <c r="Q590" s="289"/>
      <c r="R590" s="289"/>
      <c r="S590" s="232">
        <v>10.25</v>
      </c>
      <c r="T590" s="388">
        <v>8.11</v>
      </c>
      <c r="U590" s="212" t="s">
        <v>309</v>
      </c>
      <c r="V590" s="212" t="s">
        <v>594</v>
      </c>
      <c r="W590" s="218" t="s">
        <v>1195</v>
      </c>
      <c r="X590" s="73" t="s">
        <v>246</v>
      </c>
      <c r="Y590" s="389"/>
      <c r="Z590" s="67"/>
      <c r="AA590" s="67"/>
      <c r="AB590" s="67"/>
      <c r="AC590" s="67"/>
    </row>
    <row r="591" spans="2:29">
      <c r="B591" s="166"/>
      <c r="C591" s="173"/>
      <c r="D591" s="212">
        <v>3</v>
      </c>
      <c r="E591" s="212" t="s">
        <v>411</v>
      </c>
      <c r="F591" s="212" t="str">
        <f t="shared" si="53"/>
        <v>3 - Upstream/Downstream Transportation and Distribution</v>
      </c>
      <c r="G591" s="248" t="s">
        <v>307</v>
      </c>
      <c r="H591" s="212" t="s">
        <v>340</v>
      </c>
      <c r="I591" s="212"/>
      <c r="J591" s="212" t="s">
        <v>308</v>
      </c>
      <c r="K591" s="212" t="s">
        <v>248</v>
      </c>
      <c r="L591" s="212" t="s">
        <v>340</v>
      </c>
      <c r="M591" s="215" t="s">
        <v>599</v>
      </c>
      <c r="N591" s="289"/>
      <c r="O591" s="289"/>
      <c r="P591" s="289"/>
      <c r="Q591" s="289"/>
      <c r="R591" s="289"/>
      <c r="S591" s="232">
        <v>5.8880000000000002E-2</v>
      </c>
      <c r="T591" s="388">
        <v>5.9130000000000002E-2</v>
      </c>
      <c r="U591" s="212" t="s">
        <v>204</v>
      </c>
      <c r="V591" s="212" t="s">
        <v>597</v>
      </c>
      <c r="W591" s="218" t="s">
        <v>1267</v>
      </c>
      <c r="X591" s="73" t="s">
        <v>246</v>
      </c>
      <c r="Y591" s="389"/>
      <c r="Z591" s="67"/>
      <c r="AA591" s="67"/>
      <c r="AB591" s="67"/>
      <c r="AC591" s="67"/>
    </row>
    <row r="592" spans="2:29">
      <c r="B592" s="166"/>
      <c r="C592" s="173"/>
      <c r="D592" s="212">
        <v>3</v>
      </c>
      <c r="E592" s="212" t="s">
        <v>411</v>
      </c>
      <c r="F592" s="212" t="str">
        <f t="shared" si="53"/>
        <v>3 - Upstream/Downstream Transportation and Distribution</v>
      </c>
      <c r="G592" s="248" t="s">
        <v>307</v>
      </c>
      <c r="H592" s="212" t="s">
        <v>340</v>
      </c>
      <c r="I592" s="212"/>
      <c r="J592" s="212" t="s">
        <v>308</v>
      </c>
      <c r="K592" s="212" t="s">
        <v>248</v>
      </c>
      <c r="L592" s="212" t="s">
        <v>340</v>
      </c>
      <c r="M592" s="215" t="s">
        <v>599</v>
      </c>
      <c r="N592" s="289"/>
      <c r="O592" s="289"/>
      <c r="P592" s="289"/>
      <c r="Q592" s="289"/>
      <c r="R592" s="289"/>
      <c r="S592" s="232">
        <v>5.8880000000000002E-2</v>
      </c>
      <c r="T592" s="388">
        <v>5.9130000000000002E-2</v>
      </c>
      <c r="U592" s="212" t="s">
        <v>204</v>
      </c>
      <c r="V592" s="212" t="s">
        <v>597</v>
      </c>
      <c r="W592" s="218" t="s">
        <v>1267</v>
      </c>
      <c r="X592" s="73" t="s">
        <v>246</v>
      </c>
      <c r="Y592" s="389"/>
      <c r="Z592" s="67"/>
      <c r="AA592" s="67"/>
      <c r="AB592" s="67"/>
      <c r="AC592" s="67"/>
    </row>
    <row r="593" spans="2:29">
      <c r="B593" s="166"/>
      <c r="C593" s="173"/>
      <c r="D593" s="212">
        <v>3</v>
      </c>
      <c r="E593" s="212" t="s">
        <v>411</v>
      </c>
      <c r="F593" s="212" t="str">
        <f t="shared" si="53"/>
        <v>3 - Upstream/Downstream Transportation and Distribution</v>
      </c>
      <c r="G593" s="248" t="s">
        <v>307</v>
      </c>
      <c r="H593" s="212" t="s">
        <v>340</v>
      </c>
      <c r="I593" s="212"/>
      <c r="J593" s="212" t="s">
        <v>308</v>
      </c>
      <c r="K593" s="212" t="s">
        <v>248</v>
      </c>
      <c r="L593" s="212" t="s">
        <v>340</v>
      </c>
      <c r="M593" s="215" t="s">
        <v>599</v>
      </c>
      <c r="N593" s="289"/>
      <c r="O593" s="289"/>
      <c r="P593" s="289"/>
      <c r="Q593" s="289"/>
      <c r="R593" s="289"/>
      <c r="S593" s="232">
        <v>5.8880000000000002E-2</v>
      </c>
      <c r="T593" s="388">
        <v>5.9130000000000002E-2</v>
      </c>
      <c r="U593" s="212" t="s">
        <v>204</v>
      </c>
      <c r="V593" s="212" t="s">
        <v>597</v>
      </c>
      <c r="W593" s="218" t="s">
        <v>1267</v>
      </c>
      <c r="X593" s="73" t="s">
        <v>246</v>
      </c>
      <c r="Y593" s="389"/>
      <c r="Z593" s="67"/>
      <c r="AA593" s="67"/>
      <c r="AB593" s="67"/>
      <c r="AC593" s="67"/>
    </row>
    <row r="594" spans="2:29">
      <c r="B594" s="166"/>
      <c r="C594" s="173"/>
      <c r="D594" s="212">
        <v>3</v>
      </c>
      <c r="E594" s="212" t="s">
        <v>411</v>
      </c>
      <c r="F594" s="212" t="str">
        <f t="shared" si="53"/>
        <v>3 - Upstream/Downstream Transportation and Distribution</v>
      </c>
      <c r="G594" s="248" t="s">
        <v>307</v>
      </c>
      <c r="H594" s="212" t="s">
        <v>340</v>
      </c>
      <c r="I594" s="212"/>
      <c r="J594" s="212" t="s">
        <v>308</v>
      </c>
      <c r="K594" s="212" t="s">
        <v>248</v>
      </c>
      <c r="L594" s="212" t="s">
        <v>340</v>
      </c>
      <c r="M594" s="215" t="s">
        <v>599</v>
      </c>
      <c r="N594" s="289"/>
      <c r="O594" s="289"/>
      <c r="P594" s="289"/>
      <c r="Q594" s="289"/>
      <c r="R594" s="289"/>
      <c r="S594" s="232">
        <v>5.8880000000000002E-2</v>
      </c>
      <c r="T594" s="388">
        <v>5.9130000000000002E-2</v>
      </c>
      <c r="U594" s="212" t="s">
        <v>204</v>
      </c>
      <c r="V594" s="212" t="s">
        <v>597</v>
      </c>
      <c r="W594" s="218" t="s">
        <v>1267</v>
      </c>
      <c r="X594" s="73" t="s">
        <v>246</v>
      </c>
      <c r="Y594" s="389"/>
      <c r="Z594" s="67"/>
      <c r="AA594" s="67"/>
      <c r="AB594" s="67"/>
      <c r="AC594" s="67"/>
    </row>
    <row r="595" spans="2:29">
      <c r="B595" s="166"/>
      <c r="C595" s="173"/>
      <c r="D595" s="212">
        <v>3</v>
      </c>
      <c r="E595" s="212" t="s">
        <v>411</v>
      </c>
      <c r="F595" s="212" t="str">
        <f t="shared" si="53"/>
        <v>3 - Upstream/Downstream Transportation and Distribution</v>
      </c>
      <c r="G595" s="248" t="s">
        <v>307</v>
      </c>
      <c r="H595" s="212" t="s">
        <v>340</v>
      </c>
      <c r="I595" s="212"/>
      <c r="J595" s="212" t="s">
        <v>308</v>
      </c>
      <c r="K595" s="212" t="s">
        <v>248</v>
      </c>
      <c r="L595" s="212" t="s">
        <v>340</v>
      </c>
      <c r="M595" s="215" t="s">
        <v>599</v>
      </c>
      <c r="N595" s="289"/>
      <c r="O595" s="289"/>
      <c r="P595" s="289"/>
      <c r="Q595" s="289"/>
      <c r="R595" s="289"/>
      <c r="S595" s="232">
        <v>5.8880000000000002E-2</v>
      </c>
      <c r="T595" s="388">
        <v>5.9130000000000002E-2</v>
      </c>
      <c r="U595" s="212" t="s">
        <v>204</v>
      </c>
      <c r="V595" s="212" t="s">
        <v>597</v>
      </c>
      <c r="W595" s="218" t="s">
        <v>1267</v>
      </c>
      <c r="X595" s="73" t="s">
        <v>246</v>
      </c>
      <c r="Y595" s="389"/>
      <c r="Z595" s="67"/>
      <c r="AA595" s="67"/>
      <c r="AB595" s="67"/>
      <c r="AC595" s="67"/>
    </row>
    <row r="596" spans="2:29">
      <c r="B596" s="166"/>
      <c r="C596" s="173"/>
      <c r="D596" s="212">
        <v>3</v>
      </c>
      <c r="E596" s="212" t="s">
        <v>411</v>
      </c>
      <c r="F596" s="212" t="str">
        <f t="shared" si="53"/>
        <v>3 - Upstream/Downstream Transportation and Distribution</v>
      </c>
      <c r="G596" s="248" t="s">
        <v>307</v>
      </c>
      <c r="H596" s="212" t="s">
        <v>257</v>
      </c>
      <c r="I596" s="212"/>
      <c r="J596" s="212" t="s">
        <v>308</v>
      </c>
      <c r="K596" s="212" t="s">
        <v>248</v>
      </c>
      <c r="L596" s="212" t="s">
        <v>247</v>
      </c>
      <c r="M596" s="215" t="s">
        <v>596</v>
      </c>
      <c r="N596" s="289"/>
      <c r="O596" s="289"/>
      <c r="P596" s="289"/>
      <c r="Q596" s="289"/>
      <c r="R596" s="289"/>
      <c r="S596" s="232">
        <v>5.8880000000000002E-2</v>
      </c>
      <c r="T596" s="388">
        <v>5.9130000000000002E-2</v>
      </c>
      <c r="U596" s="212" t="s">
        <v>204</v>
      </c>
      <c r="V596" s="212" t="s">
        <v>597</v>
      </c>
      <c r="W596" s="218" t="s">
        <v>1267</v>
      </c>
      <c r="X596" s="73" t="s">
        <v>246</v>
      </c>
      <c r="Y596" s="389"/>
      <c r="Z596" s="67"/>
      <c r="AA596" s="67"/>
      <c r="AB596" s="67"/>
      <c r="AC596" s="67"/>
    </row>
    <row r="597" spans="2:29">
      <c r="B597" s="166"/>
      <c r="C597" s="173"/>
      <c r="D597" s="212">
        <v>3</v>
      </c>
      <c r="E597" s="212" t="s">
        <v>411</v>
      </c>
      <c r="F597" s="212" t="str">
        <f t="shared" si="53"/>
        <v>3 - Upstream/Downstream Transportation and Distribution</v>
      </c>
      <c r="G597" s="248" t="s">
        <v>307</v>
      </c>
      <c r="H597" s="212" t="s">
        <v>257</v>
      </c>
      <c r="I597" s="212"/>
      <c r="J597" s="212" t="s">
        <v>308</v>
      </c>
      <c r="K597" s="212" t="s">
        <v>248</v>
      </c>
      <c r="L597" s="212" t="s">
        <v>247</v>
      </c>
      <c r="M597" s="215" t="s">
        <v>596</v>
      </c>
      <c r="N597" s="289"/>
      <c r="O597" s="289"/>
      <c r="P597" s="289"/>
      <c r="Q597" s="289"/>
      <c r="R597" s="289"/>
      <c r="S597" s="232">
        <v>5.8880000000000002E-2</v>
      </c>
      <c r="T597" s="388">
        <v>5.9130000000000002E-2</v>
      </c>
      <c r="U597" s="212" t="s">
        <v>204</v>
      </c>
      <c r="V597" s="212" t="s">
        <v>597</v>
      </c>
      <c r="W597" s="218" t="s">
        <v>1267</v>
      </c>
      <c r="X597" s="73" t="s">
        <v>246</v>
      </c>
      <c r="Y597" s="389"/>
      <c r="Z597" s="67"/>
      <c r="AA597" s="67"/>
      <c r="AB597" s="67"/>
      <c r="AC597" s="67"/>
    </row>
    <row r="598" spans="2:29">
      <c r="B598" s="166"/>
      <c r="C598" s="173"/>
      <c r="D598" s="212">
        <v>3</v>
      </c>
      <c r="E598" s="212" t="s">
        <v>411</v>
      </c>
      <c r="F598" s="212" t="str">
        <f t="shared" si="53"/>
        <v>3 - Upstream/Downstream Transportation and Distribution</v>
      </c>
      <c r="G598" s="248" t="s">
        <v>307</v>
      </c>
      <c r="H598" s="212" t="s">
        <v>257</v>
      </c>
      <c r="I598" s="212"/>
      <c r="J598" s="212" t="s">
        <v>308</v>
      </c>
      <c r="K598" s="212" t="s">
        <v>248</v>
      </c>
      <c r="L598" s="212" t="s">
        <v>247</v>
      </c>
      <c r="M598" s="215" t="s">
        <v>596</v>
      </c>
      <c r="N598" s="289"/>
      <c r="O598" s="289"/>
      <c r="P598" s="289"/>
      <c r="Q598" s="289"/>
      <c r="R598" s="289"/>
      <c r="S598" s="232">
        <v>5.8880000000000002E-2</v>
      </c>
      <c r="T598" s="388">
        <v>5.9130000000000002E-2</v>
      </c>
      <c r="U598" s="212" t="s">
        <v>204</v>
      </c>
      <c r="V598" s="212" t="s">
        <v>597</v>
      </c>
      <c r="W598" s="218" t="s">
        <v>1267</v>
      </c>
      <c r="X598" s="73" t="s">
        <v>246</v>
      </c>
      <c r="Y598" s="389"/>
      <c r="Z598" s="67"/>
      <c r="AA598" s="67"/>
      <c r="AB598" s="67"/>
      <c r="AC598" s="67"/>
    </row>
    <row r="599" spans="2:29">
      <c r="B599" s="166"/>
      <c r="C599" s="173"/>
      <c r="D599" s="212">
        <v>3</v>
      </c>
      <c r="E599" s="212" t="s">
        <v>411</v>
      </c>
      <c r="F599" s="212" t="str">
        <f t="shared" si="53"/>
        <v>3 - Upstream/Downstream Transportation and Distribution</v>
      </c>
      <c r="G599" s="248" t="s">
        <v>307</v>
      </c>
      <c r="H599" s="212" t="s">
        <v>257</v>
      </c>
      <c r="I599" s="212"/>
      <c r="J599" s="212" t="s">
        <v>308</v>
      </c>
      <c r="K599" s="212" t="s">
        <v>248</v>
      </c>
      <c r="L599" s="212" t="s">
        <v>247</v>
      </c>
      <c r="M599" s="215" t="s">
        <v>596</v>
      </c>
      <c r="N599" s="289"/>
      <c r="O599" s="289"/>
      <c r="P599" s="289"/>
      <c r="Q599" s="289"/>
      <c r="R599" s="289"/>
      <c r="S599" s="232">
        <v>5.8880000000000002E-2</v>
      </c>
      <c r="T599" s="388">
        <v>5.9130000000000002E-2</v>
      </c>
      <c r="U599" s="212" t="s">
        <v>204</v>
      </c>
      <c r="V599" s="212" t="s">
        <v>597</v>
      </c>
      <c r="W599" s="218" t="s">
        <v>1267</v>
      </c>
      <c r="X599" s="73" t="s">
        <v>246</v>
      </c>
      <c r="Y599" s="389"/>
      <c r="Z599" s="67"/>
      <c r="AA599" s="67"/>
      <c r="AB599" s="67"/>
      <c r="AC599" s="67"/>
    </row>
    <row r="600" spans="2:29">
      <c r="B600" s="166"/>
      <c r="C600" s="173"/>
      <c r="D600" s="212">
        <v>3</v>
      </c>
      <c r="E600" s="212" t="s">
        <v>411</v>
      </c>
      <c r="F600" s="212" t="str">
        <f t="shared" si="53"/>
        <v>3 - Upstream/Downstream Transportation and Distribution</v>
      </c>
      <c r="G600" s="248" t="s">
        <v>307</v>
      </c>
      <c r="H600" s="212" t="s">
        <v>257</v>
      </c>
      <c r="I600" s="212"/>
      <c r="J600" s="212" t="s">
        <v>308</v>
      </c>
      <c r="K600" s="212" t="s">
        <v>248</v>
      </c>
      <c r="L600" s="212" t="s">
        <v>247</v>
      </c>
      <c r="M600" s="215" t="s">
        <v>596</v>
      </c>
      <c r="N600" s="289"/>
      <c r="O600" s="289"/>
      <c r="P600" s="289"/>
      <c r="Q600" s="289"/>
      <c r="R600" s="289"/>
      <c r="S600" s="232">
        <v>5.8880000000000002E-2</v>
      </c>
      <c r="T600" s="388">
        <v>5.9130000000000002E-2</v>
      </c>
      <c r="U600" s="212" t="s">
        <v>204</v>
      </c>
      <c r="V600" s="212" t="s">
        <v>597</v>
      </c>
      <c r="W600" s="218" t="s">
        <v>1267</v>
      </c>
      <c r="X600" s="73" t="s">
        <v>246</v>
      </c>
      <c r="Y600" s="389"/>
      <c r="Z600" s="67"/>
      <c r="AA600" s="67"/>
      <c r="AB600" s="67"/>
      <c r="AC600" s="67"/>
    </row>
    <row r="601" spans="2:29">
      <c r="B601" s="166"/>
      <c r="C601" s="173"/>
      <c r="D601" s="212">
        <v>3</v>
      </c>
      <c r="E601" s="212" t="s">
        <v>411</v>
      </c>
      <c r="F601" s="212" t="str">
        <f t="shared" si="53"/>
        <v>3 - Upstream/Downstream Transportation and Distribution</v>
      </c>
      <c r="G601" s="248" t="s">
        <v>307</v>
      </c>
      <c r="H601" s="212" t="s">
        <v>257</v>
      </c>
      <c r="I601" s="212"/>
      <c r="J601" s="212" t="s">
        <v>308</v>
      </c>
      <c r="K601" s="212" t="s">
        <v>248</v>
      </c>
      <c r="L601" s="212" t="s">
        <v>342</v>
      </c>
      <c r="M601" s="215" t="s">
        <v>598</v>
      </c>
      <c r="N601" s="289"/>
      <c r="O601" s="289"/>
      <c r="P601" s="289"/>
      <c r="Q601" s="289"/>
      <c r="R601" s="289"/>
      <c r="S601" s="232">
        <v>5.8880000000000002E-2</v>
      </c>
      <c r="T601" s="388">
        <v>5.9130000000000002E-2</v>
      </c>
      <c r="U601" s="212" t="s">
        <v>204</v>
      </c>
      <c r="V601" s="212" t="s">
        <v>597</v>
      </c>
      <c r="W601" s="218" t="s">
        <v>1267</v>
      </c>
      <c r="X601" s="73" t="s">
        <v>246</v>
      </c>
      <c r="Y601" s="389"/>
      <c r="Z601" s="67"/>
      <c r="AA601" s="67"/>
      <c r="AB601" s="67"/>
      <c r="AC601" s="67"/>
    </row>
    <row r="602" spans="2:29">
      <c r="B602" s="166"/>
      <c r="C602" s="173"/>
      <c r="D602" s="212">
        <v>3</v>
      </c>
      <c r="E602" s="212" t="s">
        <v>411</v>
      </c>
      <c r="F602" s="212" t="str">
        <f t="shared" si="53"/>
        <v>3 - Upstream/Downstream Transportation and Distribution</v>
      </c>
      <c r="G602" s="248" t="s">
        <v>307</v>
      </c>
      <c r="H602" s="212" t="s">
        <v>257</v>
      </c>
      <c r="I602" s="212"/>
      <c r="J602" s="212" t="s">
        <v>308</v>
      </c>
      <c r="K602" s="212" t="s">
        <v>248</v>
      </c>
      <c r="L602" s="212" t="s">
        <v>342</v>
      </c>
      <c r="M602" s="215" t="s">
        <v>598</v>
      </c>
      <c r="N602" s="289"/>
      <c r="O602" s="289"/>
      <c r="P602" s="289"/>
      <c r="Q602" s="289"/>
      <c r="R602" s="289"/>
      <c r="S602" s="232">
        <v>5.8880000000000002E-2</v>
      </c>
      <c r="T602" s="388">
        <v>5.9130000000000002E-2</v>
      </c>
      <c r="U602" s="212" t="s">
        <v>204</v>
      </c>
      <c r="V602" s="212" t="s">
        <v>597</v>
      </c>
      <c r="W602" s="218" t="s">
        <v>1267</v>
      </c>
      <c r="X602" s="73" t="s">
        <v>246</v>
      </c>
      <c r="Y602" s="389"/>
      <c r="Z602" s="67"/>
      <c r="AA602" s="67"/>
      <c r="AB602" s="67"/>
      <c r="AC602" s="67"/>
    </row>
    <row r="603" spans="2:29">
      <c r="B603" s="166"/>
      <c r="C603" s="173"/>
      <c r="D603" s="212">
        <v>3</v>
      </c>
      <c r="E603" s="212" t="s">
        <v>411</v>
      </c>
      <c r="F603" s="212" t="str">
        <f t="shared" si="53"/>
        <v>3 - Upstream/Downstream Transportation and Distribution</v>
      </c>
      <c r="G603" s="248" t="s">
        <v>307</v>
      </c>
      <c r="H603" s="212" t="s">
        <v>257</v>
      </c>
      <c r="I603" s="212"/>
      <c r="J603" s="212" t="s">
        <v>308</v>
      </c>
      <c r="K603" s="212" t="s">
        <v>248</v>
      </c>
      <c r="L603" s="212" t="s">
        <v>342</v>
      </c>
      <c r="M603" s="215" t="s">
        <v>598</v>
      </c>
      <c r="N603" s="289"/>
      <c r="O603" s="289"/>
      <c r="P603" s="289"/>
      <c r="Q603" s="289"/>
      <c r="R603" s="289"/>
      <c r="S603" s="232">
        <v>5.8880000000000002E-2</v>
      </c>
      <c r="T603" s="388">
        <v>5.9130000000000002E-2</v>
      </c>
      <c r="U603" s="212" t="s">
        <v>204</v>
      </c>
      <c r="V603" s="212" t="s">
        <v>597</v>
      </c>
      <c r="W603" s="218" t="s">
        <v>1267</v>
      </c>
      <c r="X603" s="73" t="s">
        <v>246</v>
      </c>
      <c r="Y603" s="389"/>
      <c r="Z603" s="67"/>
      <c r="AA603" s="67"/>
      <c r="AB603" s="67"/>
      <c r="AC603" s="67"/>
    </row>
    <row r="604" spans="2:29">
      <c r="B604" s="166"/>
      <c r="C604" s="173"/>
      <c r="D604" s="212">
        <v>3</v>
      </c>
      <c r="E604" s="212" t="s">
        <v>411</v>
      </c>
      <c r="F604" s="212" t="str">
        <f t="shared" si="53"/>
        <v>3 - Upstream/Downstream Transportation and Distribution</v>
      </c>
      <c r="G604" s="248" t="s">
        <v>307</v>
      </c>
      <c r="H604" s="212" t="s">
        <v>257</v>
      </c>
      <c r="I604" s="212"/>
      <c r="J604" s="212" t="s">
        <v>308</v>
      </c>
      <c r="K604" s="212" t="s">
        <v>248</v>
      </c>
      <c r="L604" s="212" t="s">
        <v>342</v>
      </c>
      <c r="M604" s="215" t="s">
        <v>598</v>
      </c>
      <c r="N604" s="289"/>
      <c r="O604" s="289"/>
      <c r="P604" s="289"/>
      <c r="Q604" s="289"/>
      <c r="R604" s="289"/>
      <c r="S604" s="232">
        <v>5.8880000000000002E-2</v>
      </c>
      <c r="T604" s="388">
        <v>5.9130000000000002E-2</v>
      </c>
      <c r="U604" s="212" t="s">
        <v>204</v>
      </c>
      <c r="V604" s="212" t="s">
        <v>597</v>
      </c>
      <c r="W604" s="218" t="s">
        <v>1267</v>
      </c>
      <c r="X604" s="73" t="s">
        <v>246</v>
      </c>
      <c r="Y604" s="389"/>
      <c r="Z604" s="67"/>
      <c r="AA604" s="67"/>
      <c r="AB604" s="67"/>
      <c r="AC604" s="67"/>
    </row>
    <row r="605" spans="2:29">
      <c r="B605" s="166"/>
      <c r="C605" s="173"/>
      <c r="D605" s="212">
        <v>3</v>
      </c>
      <c r="E605" s="212" t="s">
        <v>411</v>
      </c>
      <c r="F605" s="212" t="str">
        <f t="shared" si="53"/>
        <v>3 - Upstream/Downstream Transportation and Distribution</v>
      </c>
      <c r="G605" s="248" t="s">
        <v>307</v>
      </c>
      <c r="H605" s="212" t="s">
        <v>257</v>
      </c>
      <c r="I605" s="212"/>
      <c r="J605" s="212" t="s">
        <v>308</v>
      </c>
      <c r="K605" s="212" t="s">
        <v>248</v>
      </c>
      <c r="L605" s="212" t="s">
        <v>342</v>
      </c>
      <c r="M605" s="215" t="s">
        <v>598</v>
      </c>
      <c r="N605" s="289"/>
      <c r="O605" s="289"/>
      <c r="P605" s="289"/>
      <c r="Q605" s="289"/>
      <c r="R605" s="289"/>
      <c r="S605" s="232">
        <v>5.8880000000000002E-2</v>
      </c>
      <c r="T605" s="388">
        <v>5.9130000000000002E-2</v>
      </c>
      <c r="U605" s="212" t="s">
        <v>204</v>
      </c>
      <c r="V605" s="212" t="s">
        <v>597</v>
      </c>
      <c r="W605" s="218" t="s">
        <v>1267</v>
      </c>
      <c r="X605" s="73" t="s">
        <v>246</v>
      </c>
      <c r="Y605" s="389"/>
      <c r="Z605" s="67"/>
      <c r="AA605" s="67"/>
      <c r="AB605" s="67"/>
      <c r="AC605" s="67"/>
    </row>
    <row r="606" spans="2:29">
      <c r="B606" s="166"/>
      <c r="C606" s="173"/>
      <c r="D606" s="212">
        <v>3</v>
      </c>
      <c r="E606" s="212" t="s">
        <v>411</v>
      </c>
      <c r="F606" s="212" t="str">
        <f t="shared" si="53"/>
        <v>3 - Upstream/Downstream Transportation and Distribution</v>
      </c>
      <c r="G606" s="248" t="s">
        <v>307</v>
      </c>
      <c r="H606" s="212" t="s">
        <v>360</v>
      </c>
      <c r="I606" s="212"/>
      <c r="J606" s="212" t="s">
        <v>308</v>
      </c>
      <c r="K606" s="212" t="s">
        <v>203</v>
      </c>
      <c r="L606" s="212" t="s">
        <v>360</v>
      </c>
      <c r="M606" s="215" t="s">
        <v>600</v>
      </c>
      <c r="N606" s="289"/>
      <c r="O606" s="289"/>
      <c r="P606" s="289"/>
      <c r="Q606" s="289"/>
      <c r="R606" s="289"/>
      <c r="S606" s="232">
        <v>5.8880000000000002E-2</v>
      </c>
      <c r="T606" s="388">
        <v>5.9130000000000002E-2</v>
      </c>
      <c r="U606" s="212" t="s">
        <v>204</v>
      </c>
      <c r="V606" s="212" t="s">
        <v>550</v>
      </c>
      <c r="W606" s="218" t="s">
        <v>1262</v>
      </c>
      <c r="X606" s="73" t="s">
        <v>246</v>
      </c>
      <c r="Y606" s="389"/>
      <c r="Z606" s="67"/>
      <c r="AA606" s="67"/>
      <c r="AB606" s="67"/>
      <c r="AC606" s="67"/>
    </row>
    <row r="607" spans="2:29">
      <c r="B607" s="166"/>
      <c r="C607" s="173"/>
      <c r="D607" s="212">
        <v>3</v>
      </c>
      <c r="E607" s="212" t="s">
        <v>411</v>
      </c>
      <c r="F607" s="212" t="str">
        <f t="shared" si="53"/>
        <v>3 - Upstream/Downstream Transportation and Distribution</v>
      </c>
      <c r="G607" s="248" t="s">
        <v>307</v>
      </c>
      <c r="H607" s="212" t="s">
        <v>360</v>
      </c>
      <c r="I607" s="212"/>
      <c r="J607" s="212" t="s">
        <v>308</v>
      </c>
      <c r="K607" s="212" t="s">
        <v>203</v>
      </c>
      <c r="L607" s="212" t="s">
        <v>360</v>
      </c>
      <c r="M607" s="215" t="s">
        <v>600</v>
      </c>
      <c r="N607" s="289"/>
      <c r="O607" s="289"/>
      <c r="P607" s="289"/>
      <c r="Q607" s="289"/>
      <c r="R607" s="289"/>
      <c r="S607" s="232">
        <v>5.8880000000000002E-2</v>
      </c>
      <c r="T607" s="388">
        <v>5.9130000000000002E-2</v>
      </c>
      <c r="U607" s="212" t="s">
        <v>204</v>
      </c>
      <c r="V607" s="212" t="s">
        <v>550</v>
      </c>
      <c r="W607" s="218" t="s">
        <v>1262</v>
      </c>
      <c r="X607" s="73" t="s">
        <v>246</v>
      </c>
      <c r="Y607" s="389"/>
      <c r="Z607" s="67"/>
      <c r="AA607" s="67"/>
      <c r="AB607" s="67"/>
      <c r="AC607" s="67"/>
    </row>
    <row r="608" spans="2:29">
      <c r="B608" s="166"/>
      <c r="C608" s="173"/>
      <c r="D608" s="212">
        <v>3</v>
      </c>
      <c r="E608" s="212" t="s">
        <v>411</v>
      </c>
      <c r="F608" s="212" t="str">
        <f t="shared" si="53"/>
        <v>3 - Upstream/Downstream Transportation and Distribution</v>
      </c>
      <c r="G608" s="248" t="s">
        <v>307</v>
      </c>
      <c r="H608" s="212" t="s">
        <v>360</v>
      </c>
      <c r="I608" s="212"/>
      <c r="J608" s="212" t="s">
        <v>308</v>
      </c>
      <c r="K608" s="212" t="s">
        <v>203</v>
      </c>
      <c r="L608" s="212" t="s">
        <v>360</v>
      </c>
      <c r="M608" s="215" t="s">
        <v>600</v>
      </c>
      <c r="N608" s="289"/>
      <c r="O608" s="289"/>
      <c r="P608" s="289"/>
      <c r="Q608" s="289"/>
      <c r="R608" s="289"/>
      <c r="S608" s="232">
        <v>5.8880000000000002E-2</v>
      </c>
      <c r="T608" s="388">
        <v>5.9130000000000002E-2</v>
      </c>
      <c r="U608" s="212" t="s">
        <v>204</v>
      </c>
      <c r="V608" s="212" t="s">
        <v>550</v>
      </c>
      <c r="W608" s="218" t="s">
        <v>1262</v>
      </c>
      <c r="X608" s="73" t="s">
        <v>246</v>
      </c>
      <c r="Y608" s="389"/>
      <c r="Z608" s="67"/>
      <c r="AA608" s="67"/>
      <c r="AB608" s="67"/>
      <c r="AC608" s="67"/>
    </row>
    <row r="609" spans="2:29">
      <c r="B609" s="166"/>
      <c r="C609" s="173"/>
      <c r="D609" s="212">
        <v>3</v>
      </c>
      <c r="E609" s="212" t="s">
        <v>411</v>
      </c>
      <c r="F609" s="212" t="str">
        <f t="shared" si="53"/>
        <v>3 - Upstream/Downstream Transportation and Distribution</v>
      </c>
      <c r="G609" s="248" t="s">
        <v>307</v>
      </c>
      <c r="H609" s="212" t="s">
        <v>360</v>
      </c>
      <c r="I609" s="212"/>
      <c r="J609" s="212" t="s">
        <v>308</v>
      </c>
      <c r="K609" s="212" t="s">
        <v>203</v>
      </c>
      <c r="L609" s="212" t="s">
        <v>360</v>
      </c>
      <c r="M609" s="215" t="s">
        <v>600</v>
      </c>
      <c r="N609" s="289"/>
      <c r="O609" s="289"/>
      <c r="P609" s="289"/>
      <c r="Q609" s="289"/>
      <c r="R609" s="289"/>
      <c r="S609" s="232">
        <v>5.8880000000000002E-2</v>
      </c>
      <c r="T609" s="388">
        <v>5.9130000000000002E-2</v>
      </c>
      <c r="U609" s="212" t="s">
        <v>204</v>
      </c>
      <c r="V609" s="212" t="s">
        <v>550</v>
      </c>
      <c r="W609" s="218" t="s">
        <v>1262</v>
      </c>
      <c r="X609" s="73" t="s">
        <v>246</v>
      </c>
      <c r="Y609" s="389"/>
      <c r="Z609" s="67"/>
      <c r="AA609" s="67"/>
      <c r="AB609" s="67"/>
      <c r="AC609" s="67"/>
    </row>
    <row r="610" spans="2:29">
      <c r="B610" s="166"/>
      <c r="C610" s="173"/>
      <c r="D610" s="212">
        <v>3</v>
      </c>
      <c r="E610" s="212" t="s">
        <v>411</v>
      </c>
      <c r="F610" s="212" t="str">
        <f t="shared" si="53"/>
        <v>3 - Upstream/Downstream Transportation and Distribution</v>
      </c>
      <c r="G610" s="248" t="s">
        <v>307</v>
      </c>
      <c r="H610" s="212" t="s">
        <v>360</v>
      </c>
      <c r="I610" s="212"/>
      <c r="J610" s="212" t="s">
        <v>308</v>
      </c>
      <c r="K610" s="212" t="s">
        <v>203</v>
      </c>
      <c r="L610" s="212" t="s">
        <v>360</v>
      </c>
      <c r="M610" s="215" t="s">
        <v>600</v>
      </c>
      <c r="N610" s="289"/>
      <c r="O610" s="289"/>
      <c r="P610" s="289"/>
      <c r="Q610" s="289"/>
      <c r="R610" s="289"/>
      <c r="S610" s="232">
        <v>5.8880000000000002E-2</v>
      </c>
      <c r="T610" s="388">
        <v>5.9130000000000002E-2</v>
      </c>
      <c r="U610" s="212" t="s">
        <v>204</v>
      </c>
      <c r="V610" s="212" t="s">
        <v>550</v>
      </c>
      <c r="W610" s="218" t="s">
        <v>1262</v>
      </c>
      <c r="X610" s="73" t="s">
        <v>246</v>
      </c>
      <c r="Y610" s="389"/>
      <c r="Z610" s="67"/>
      <c r="AA610" s="67"/>
      <c r="AB610" s="67"/>
      <c r="AC610" s="67"/>
    </row>
    <row r="611" spans="2:29">
      <c r="B611" s="166"/>
      <c r="C611" s="173"/>
      <c r="D611" s="212">
        <v>3</v>
      </c>
      <c r="E611" s="212" t="s">
        <v>411</v>
      </c>
      <c r="F611" s="212" t="str">
        <f t="shared" si="53"/>
        <v>3 - Upstream/Downstream Transportation and Distribution</v>
      </c>
      <c r="G611" s="248" t="s">
        <v>307</v>
      </c>
      <c r="H611" s="212" t="s">
        <v>412</v>
      </c>
      <c r="I611" s="212"/>
      <c r="J611" s="212" t="s">
        <v>308</v>
      </c>
      <c r="K611" s="212" t="s">
        <v>354</v>
      </c>
      <c r="L611" s="212" t="s">
        <v>266</v>
      </c>
      <c r="M611" s="215" t="s">
        <v>602</v>
      </c>
      <c r="N611" s="289"/>
      <c r="O611" s="289"/>
      <c r="P611" s="289"/>
      <c r="Q611" s="289"/>
      <c r="R611" s="289"/>
      <c r="S611" s="232">
        <v>5.1299999999999998E-2</v>
      </c>
      <c r="T611" s="388">
        <v>5.1529999999999999E-2</v>
      </c>
      <c r="U611" s="212" t="s">
        <v>204</v>
      </c>
      <c r="V611" s="212" t="s">
        <v>589</v>
      </c>
      <c r="W611" s="218" t="s">
        <v>1266</v>
      </c>
      <c r="X611" s="73" t="s">
        <v>246</v>
      </c>
      <c r="Y611" s="389"/>
      <c r="Z611" s="67"/>
      <c r="AA611" s="67"/>
      <c r="AB611" s="67"/>
      <c r="AC611" s="67"/>
    </row>
    <row r="612" spans="2:29">
      <c r="B612" s="166"/>
      <c r="C612" s="173"/>
      <c r="D612" s="212">
        <v>3</v>
      </c>
      <c r="E612" s="212" t="s">
        <v>411</v>
      </c>
      <c r="F612" s="212" t="str">
        <f t="shared" si="53"/>
        <v>3 - Upstream/Downstream Transportation and Distribution</v>
      </c>
      <c r="G612" s="248" t="s">
        <v>307</v>
      </c>
      <c r="H612" s="212" t="s">
        <v>412</v>
      </c>
      <c r="I612" s="212"/>
      <c r="J612" s="212" t="s">
        <v>308</v>
      </c>
      <c r="K612" s="212" t="s">
        <v>354</v>
      </c>
      <c r="L612" s="212" t="s">
        <v>266</v>
      </c>
      <c r="M612" s="215" t="s">
        <v>602</v>
      </c>
      <c r="N612" s="289"/>
      <c r="O612" s="289"/>
      <c r="P612" s="289"/>
      <c r="Q612" s="289"/>
      <c r="R612" s="289"/>
      <c r="S612" s="232">
        <v>5.1299999999999998E-2</v>
      </c>
      <c r="T612" s="388">
        <v>5.1529999999999999E-2</v>
      </c>
      <c r="U612" s="212" t="s">
        <v>204</v>
      </c>
      <c r="V612" s="212" t="s">
        <v>589</v>
      </c>
      <c r="W612" s="218" t="s">
        <v>1266</v>
      </c>
      <c r="X612" s="73" t="s">
        <v>246</v>
      </c>
      <c r="Y612" s="389"/>
      <c r="Z612" s="67"/>
      <c r="AA612" s="67"/>
      <c r="AB612" s="67"/>
      <c r="AC612" s="67"/>
    </row>
    <row r="613" spans="2:29">
      <c r="B613" s="166"/>
      <c r="C613" s="173"/>
      <c r="D613" s="212">
        <v>3</v>
      </c>
      <c r="E613" s="212" t="s">
        <v>411</v>
      </c>
      <c r="F613" s="212" t="str">
        <f t="shared" si="53"/>
        <v>3 - Upstream/Downstream Transportation and Distribution</v>
      </c>
      <c r="G613" s="248" t="s">
        <v>307</v>
      </c>
      <c r="H613" s="212" t="s">
        <v>412</v>
      </c>
      <c r="I613" s="212"/>
      <c r="J613" s="212" t="s">
        <v>308</v>
      </c>
      <c r="K613" s="212" t="s">
        <v>354</v>
      </c>
      <c r="L613" s="212" t="s">
        <v>266</v>
      </c>
      <c r="M613" s="215" t="s">
        <v>602</v>
      </c>
      <c r="N613" s="289"/>
      <c r="O613" s="289"/>
      <c r="P613" s="289"/>
      <c r="Q613" s="289"/>
      <c r="R613" s="289"/>
      <c r="S613" s="232">
        <v>5.1299999999999998E-2</v>
      </c>
      <c r="T613" s="388">
        <v>5.1529999999999999E-2</v>
      </c>
      <c r="U613" s="212" t="s">
        <v>204</v>
      </c>
      <c r="V613" s="212" t="s">
        <v>589</v>
      </c>
      <c r="W613" s="218" t="s">
        <v>1266</v>
      </c>
      <c r="X613" s="73" t="s">
        <v>246</v>
      </c>
      <c r="Y613" s="389"/>
      <c r="Z613" s="67"/>
      <c r="AA613" s="67"/>
      <c r="AB613" s="67"/>
      <c r="AC613" s="67"/>
    </row>
    <row r="614" spans="2:29">
      <c r="B614" s="166"/>
      <c r="C614" s="173"/>
      <c r="D614" s="212">
        <v>3</v>
      </c>
      <c r="E614" s="212" t="s">
        <v>411</v>
      </c>
      <c r="F614" s="212" t="str">
        <f t="shared" si="53"/>
        <v>3 - Upstream/Downstream Transportation and Distribution</v>
      </c>
      <c r="G614" s="248" t="s">
        <v>307</v>
      </c>
      <c r="H614" s="212" t="s">
        <v>412</v>
      </c>
      <c r="I614" s="212"/>
      <c r="J614" s="212" t="s">
        <v>308</v>
      </c>
      <c r="K614" s="212" t="s">
        <v>354</v>
      </c>
      <c r="L614" s="212" t="s">
        <v>266</v>
      </c>
      <c r="M614" s="215" t="s">
        <v>602</v>
      </c>
      <c r="N614" s="289"/>
      <c r="O614" s="289"/>
      <c r="P614" s="289"/>
      <c r="Q614" s="289"/>
      <c r="R614" s="289"/>
      <c r="S614" s="232">
        <v>5.1299999999999998E-2</v>
      </c>
      <c r="T614" s="388">
        <v>5.1529999999999999E-2</v>
      </c>
      <c r="U614" s="212" t="s">
        <v>204</v>
      </c>
      <c r="V614" s="212" t="s">
        <v>589</v>
      </c>
      <c r="W614" s="218" t="s">
        <v>1266</v>
      </c>
      <c r="X614" s="73" t="s">
        <v>246</v>
      </c>
      <c r="Y614" s="389"/>
      <c r="Z614" s="67"/>
      <c r="AA614" s="67"/>
      <c r="AB614" s="67"/>
      <c r="AC614" s="67"/>
    </row>
    <row r="615" spans="2:29">
      <c r="B615" s="166"/>
      <c r="C615" s="173"/>
      <c r="D615" s="212">
        <v>3</v>
      </c>
      <c r="E615" s="212" t="s">
        <v>411</v>
      </c>
      <c r="F615" s="212" t="str">
        <f t="shared" si="53"/>
        <v>3 - Upstream/Downstream Transportation and Distribution</v>
      </c>
      <c r="G615" s="248" t="s">
        <v>307</v>
      </c>
      <c r="H615" s="212" t="s">
        <v>412</v>
      </c>
      <c r="I615" s="212"/>
      <c r="J615" s="212" t="s">
        <v>308</v>
      </c>
      <c r="K615" s="212" t="s">
        <v>354</v>
      </c>
      <c r="L615" s="212" t="s">
        <v>266</v>
      </c>
      <c r="M615" s="215" t="s">
        <v>602</v>
      </c>
      <c r="N615" s="289"/>
      <c r="O615" s="289"/>
      <c r="P615" s="289"/>
      <c r="Q615" s="289"/>
      <c r="R615" s="289"/>
      <c r="S615" s="232">
        <v>5.1299999999999998E-2</v>
      </c>
      <c r="T615" s="388">
        <v>5.1529999999999999E-2</v>
      </c>
      <c r="U615" s="212" t="s">
        <v>204</v>
      </c>
      <c r="V615" s="212" t="s">
        <v>589</v>
      </c>
      <c r="W615" s="218" t="s">
        <v>1266</v>
      </c>
      <c r="X615" s="73" t="s">
        <v>246</v>
      </c>
      <c r="Y615" s="389"/>
      <c r="Z615" s="67"/>
      <c r="AA615" s="67"/>
      <c r="AB615" s="67"/>
      <c r="AC615" s="67"/>
    </row>
    <row r="616" spans="2:29">
      <c r="B616" s="166"/>
      <c r="C616" s="173"/>
      <c r="D616" s="212">
        <v>3</v>
      </c>
      <c r="E616" s="212" t="s">
        <v>411</v>
      </c>
      <c r="F616" s="212" t="str">
        <f t="shared" si="53"/>
        <v>3 - Upstream/Downstream Transportation and Distribution</v>
      </c>
      <c r="G616" s="248" t="s">
        <v>307</v>
      </c>
      <c r="H616" s="212" t="s">
        <v>412</v>
      </c>
      <c r="I616" s="212"/>
      <c r="J616" s="212" t="s">
        <v>308</v>
      </c>
      <c r="K616" s="212" t="s">
        <v>353</v>
      </c>
      <c r="L616" s="212" t="s">
        <v>266</v>
      </c>
      <c r="M616" s="215" t="str">
        <f t="shared" ref="M616:M620" si="54">K616&amp;L616</f>
        <v>AvGasAir Travel</v>
      </c>
      <c r="N616" s="289"/>
      <c r="O616" s="289"/>
      <c r="P616" s="289"/>
      <c r="Q616" s="289"/>
      <c r="R616" s="289"/>
      <c r="S616" s="232">
        <v>6.2239999999999997E-2</v>
      </c>
      <c r="T616" s="388">
        <v>6.2530000000000002E-2</v>
      </c>
      <c r="U616" s="212" t="s">
        <v>204</v>
      </c>
      <c r="V616" s="212" t="s">
        <v>587</v>
      </c>
      <c r="W616" s="218" t="s">
        <v>1265</v>
      </c>
      <c r="X616" s="73" t="s">
        <v>246</v>
      </c>
      <c r="Y616" s="389"/>
      <c r="Z616" s="67"/>
      <c r="AA616" s="67"/>
      <c r="AB616" s="67"/>
      <c r="AC616" s="67"/>
    </row>
    <row r="617" spans="2:29">
      <c r="B617" s="166"/>
      <c r="C617" s="173"/>
      <c r="D617" s="212">
        <v>3</v>
      </c>
      <c r="E617" s="212" t="s">
        <v>411</v>
      </c>
      <c r="F617" s="212" t="str">
        <f t="shared" si="53"/>
        <v>3 - Upstream/Downstream Transportation and Distribution</v>
      </c>
      <c r="G617" s="248" t="s">
        <v>307</v>
      </c>
      <c r="H617" s="212" t="s">
        <v>412</v>
      </c>
      <c r="I617" s="212"/>
      <c r="J617" s="212" t="s">
        <v>308</v>
      </c>
      <c r="K617" s="212" t="s">
        <v>353</v>
      </c>
      <c r="L617" s="212" t="s">
        <v>266</v>
      </c>
      <c r="M617" s="215" t="str">
        <f t="shared" si="54"/>
        <v>AvGasAir Travel</v>
      </c>
      <c r="N617" s="289"/>
      <c r="O617" s="289"/>
      <c r="P617" s="289"/>
      <c r="Q617" s="289"/>
      <c r="R617" s="289"/>
      <c r="S617" s="232">
        <v>6.2239999999999997E-2</v>
      </c>
      <c r="T617" s="388">
        <v>6.2530000000000002E-2</v>
      </c>
      <c r="U617" s="212" t="s">
        <v>204</v>
      </c>
      <c r="V617" s="212" t="s">
        <v>587</v>
      </c>
      <c r="W617" s="218" t="s">
        <v>1265</v>
      </c>
      <c r="X617" s="73" t="s">
        <v>246</v>
      </c>
      <c r="Y617" s="389"/>
      <c r="Z617" s="67"/>
      <c r="AA617" s="67"/>
      <c r="AB617" s="67"/>
      <c r="AC617" s="67"/>
    </row>
    <row r="618" spans="2:29">
      <c r="B618" s="166"/>
      <c r="C618" s="173"/>
      <c r="D618" s="212">
        <v>3</v>
      </c>
      <c r="E618" s="212" t="s">
        <v>411</v>
      </c>
      <c r="F618" s="212" t="str">
        <f t="shared" si="53"/>
        <v>3 - Upstream/Downstream Transportation and Distribution</v>
      </c>
      <c r="G618" s="248" t="s">
        <v>307</v>
      </c>
      <c r="H618" s="212" t="s">
        <v>412</v>
      </c>
      <c r="I618" s="212"/>
      <c r="J618" s="212" t="s">
        <v>308</v>
      </c>
      <c r="K618" s="212" t="s">
        <v>353</v>
      </c>
      <c r="L618" s="212" t="s">
        <v>266</v>
      </c>
      <c r="M618" s="215" t="str">
        <f t="shared" si="54"/>
        <v>AvGasAir Travel</v>
      </c>
      <c r="N618" s="289"/>
      <c r="O618" s="289"/>
      <c r="P618" s="289"/>
      <c r="Q618" s="289"/>
      <c r="R618" s="289"/>
      <c r="S618" s="232">
        <v>6.2239999999999997E-2</v>
      </c>
      <c r="T618" s="388">
        <v>6.2530000000000002E-2</v>
      </c>
      <c r="U618" s="212" t="s">
        <v>204</v>
      </c>
      <c r="V618" s="212" t="s">
        <v>587</v>
      </c>
      <c r="W618" s="218" t="s">
        <v>1265</v>
      </c>
      <c r="X618" s="73" t="s">
        <v>246</v>
      </c>
      <c r="Y618" s="389"/>
      <c r="Z618" s="67"/>
      <c r="AA618" s="67"/>
      <c r="AB618" s="67"/>
      <c r="AC618" s="67"/>
    </row>
    <row r="619" spans="2:29">
      <c r="B619" s="166"/>
      <c r="C619" s="173"/>
      <c r="D619" s="212">
        <v>3</v>
      </c>
      <c r="E619" s="212" t="s">
        <v>411</v>
      </c>
      <c r="F619" s="212" t="str">
        <f t="shared" si="53"/>
        <v>3 - Upstream/Downstream Transportation and Distribution</v>
      </c>
      <c r="G619" s="248" t="s">
        <v>307</v>
      </c>
      <c r="H619" s="212" t="s">
        <v>412</v>
      </c>
      <c r="I619" s="212"/>
      <c r="J619" s="212" t="s">
        <v>308</v>
      </c>
      <c r="K619" s="212" t="s">
        <v>353</v>
      </c>
      <c r="L619" s="212" t="s">
        <v>266</v>
      </c>
      <c r="M619" s="215" t="str">
        <f t="shared" si="54"/>
        <v>AvGasAir Travel</v>
      </c>
      <c r="N619" s="289"/>
      <c r="O619" s="289"/>
      <c r="P619" s="289"/>
      <c r="Q619" s="289"/>
      <c r="R619" s="289"/>
      <c r="S619" s="232">
        <v>6.2239999999999997E-2</v>
      </c>
      <c r="T619" s="388">
        <v>6.2530000000000002E-2</v>
      </c>
      <c r="U619" s="212" t="s">
        <v>204</v>
      </c>
      <c r="V619" s="212" t="s">
        <v>587</v>
      </c>
      <c r="W619" s="218" t="s">
        <v>1265</v>
      </c>
      <c r="X619" s="73" t="s">
        <v>246</v>
      </c>
      <c r="Y619" s="389"/>
      <c r="Z619" s="67"/>
      <c r="AA619" s="67"/>
      <c r="AB619" s="67"/>
      <c r="AC619" s="67"/>
    </row>
    <row r="620" spans="2:29">
      <c r="B620" s="166"/>
      <c r="C620" s="173"/>
      <c r="D620" s="212">
        <v>3</v>
      </c>
      <c r="E620" s="212" t="s">
        <v>411</v>
      </c>
      <c r="F620" s="212" t="str">
        <f t="shared" si="53"/>
        <v>3 - Upstream/Downstream Transportation and Distribution</v>
      </c>
      <c r="G620" s="248" t="s">
        <v>307</v>
      </c>
      <c r="H620" s="212" t="s">
        <v>412</v>
      </c>
      <c r="I620" s="212"/>
      <c r="J620" s="212" t="s">
        <v>308</v>
      </c>
      <c r="K620" s="212" t="s">
        <v>353</v>
      </c>
      <c r="L620" s="212" t="s">
        <v>266</v>
      </c>
      <c r="M620" s="215" t="str">
        <f t="shared" si="54"/>
        <v>AvGasAir Travel</v>
      </c>
      <c r="N620" s="289"/>
      <c r="O620" s="289"/>
      <c r="P620" s="289"/>
      <c r="Q620" s="289"/>
      <c r="R620" s="289"/>
      <c r="S620" s="232">
        <v>6.2239999999999997E-2</v>
      </c>
      <c r="T620" s="388">
        <v>6.2530000000000002E-2</v>
      </c>
      <c r="U620" s="212" t="s">
        <v>204</v>
      </c>
      <c r="V620" s="212" t="s">
        <v>587</v>
      </c>
      <c r="W620" s="218" t="s">
        <v>1265</v>
      </c>
      <c r="X620" s="73" t="s">
        <v>249</v>
      </c>
      <c r="Y620" s="389"/>
      <c r="Z620" s="67"/>
      <c r="AA620" s="67"/>
      <c r="AB620" s="67"/>
      <c r="AC620" s="67"/>
    </row>
    <row r="621" spans="2:29">
      <c r="B621" s="166"/>
      <c r="C621" s="173"/>
      <c r="D621" s="212">
        <v>3</v>
      </c>
      <c r="E621" s="212" t="s">
        <v>411</v>
      </c>
      <c r="F621" s="212" t="str">
        <f t="shared" si="53"/>
        <v>3 - Upstream/Downstream Transportation and Distribution</v>
      </c>
      <c r="G621" s="248" t="s">
        <v>307</v>
      </c>
      <c r="H621" s="212" t="s">
        <v>412</v>
      </c>
      <c r="I621" s="212"/>
      <c r="J621" s="212" t="s">
        <v>308</v>
      </c>
      <c r="K621" s="212" t="s">
        <v>413</v>
      </c>
      <c r="L621" s="212" t="s">
        <v>266</v>
      </c>
      <c r="M621" s="215" t="s">
        <v>603</v>
      </c>
      <c r="N621" s="289"/>
      <c r="O621" s="289"/>
      <c r="P621" s="289"/>
      <c r="Q621" s="289"/>
      <c r="R621" s="289"/>
      <c r="S621" s="232">
        <v>0.49186000000000002</v>
      </c>
      <c r="T621" s="388">
        <v>0.57428999999999997</v>
      </c>
      <c r="U621" s="212" t="str">
        <f t="shared" ref="U621:U652" si="55">U263</f>
        <v>tonne.km</v>
      </c>
      <c r="V621" s="212" t="str">
        <f t="shared" ref="V621:V672" si="56">K621</f>
        <v>Domestic, to/from UK - with RF</v>
      </c>
      <c r="W621" s="218" t="s">
        <v>1196</v>
      </c>
      <c r="X621" s="73" t="s">
        <v>249</v>
      </c>
      <c r="Y621" s="389"/>
      <c r="Z621" s="67"/>
      <c r="AA621" s="67"/>
      <c r="AB621" s="67"/>
      <c r="AC621" s="67"/>
    </row>
    <row r="622" spans="2:29">
      <c r="B622" s="166"/>
      <c r="C622" s="173"/>
      <c r="D622" s="212">
        <v>3</v>
      </c>
      <c r="E622" s="212" t="s">
        <v>411</v>
      </c>
      <c r="F622" s="212" t="str">
        <f t="shared" si="53"/>
        <v>3 - Upstream/Downstream Transportation and Distribution</v>
      </c>
      <c r="G622" s="248" t="s">
        <v>307</v>
      </c>
      <c r="H622" s="212" t="s">
        <v>412</v>
      </c>
      <c r="I622" s="212"/>
      <c r="J622" s="212" t="s">
        <v>308</v>
      </c>
      <c r="K622" s="212" t="s">
        <v>414</v>
      </c>
      <c r="L622" s="212" t="s">
        <v>266</v>
      </c>
      <c r="M622" s="215" t="s">
        <v>604</v>
      </c>
      <c r="N622" s="289"/>
      <c r="O622" s="289"/>
      <c r="P622" s="289"/>
      <c r="Q622" s="289"/>
      <c r="R622" s="289"/>
      <c r="S622" s="232">
        <v>0.25209999999999999</v>
      </c>
      <c r="T622" s="388">
        <v>0.20515</v>
      </c>
      <c r="U622" s="212" t="str">
        <f t="shared" si="55"/>
        <v>tonne.km</v>
      </c>
      <c r="V622" s="212" t="str">
        <f t="shared" si="56"/>
        <v>Short-haul, to/from UK - with RF</v>
      </c>
      <c r="W622" s="218" t="s">
        <v>1197</v>
      </c>
      <c r="X622" s="73" t="s">
        <v>249</v>
      </c>
      <c r="Y622" s="389"/>
      <c r="Z622" s="67"/>
      <c r="AA622" s="67"/>
      <c r="AB622" s="67"/>
      <c r="AC622" s="67"/>
    </row>
    <row r="623" spans="2:29">
      <c r="B623" s="166"/>
      <c r="C623" s="173"/>
      <c r="D623" s="212">
        <v>3</v>
      </c>
      <c r="E623" s="212" t="s">
        <v>411</v>
      </c>
      <c r="F623" s="212" t="str">
        <f t="shared" si="53"/>
        <v>3 - Upstream/Downstream Transportation and Distribution</v>
      </c>
      <c r="G623" s="248" t="s">
        <v>307</v>
      </c>
      <c r="H623" s="212" t="s">
        <v>412</v>
      </c>
      <c r="I623" s="212"/>
      <c r="J623" s="212" t="s">
        <v>308</v>
      </c>
      <c r="K623" s="212" t="s">
        <v>415</v>
      </c>
      <c r="L623" s="212" t="s">
        <v>266</v>
      </c>
      <c r="M623" s="215" t="s">
        <v>605</v>
      </c>
      <c r="N623" s="289"/>
      <c r="O623" s="289"/>
      <c r="P623" s="289"/>
      <c r="Q623" s="289"/>
      <c r="R623" s="289"/>
      <c r="S623" s="232">
        <v>0.11157</v>
      </c>
      <c r="T623" s="388">
        <v>0.13516</v>
      </c>
      <c r="U623" s="212" t="str">
        <f t="shared" si="55"/>
        <v>tonne.km</v>
      </c>
      <c r="V623" s="212" t="str">
        <f t="shared" si="56"/>
        <v>Long-haul, to/from UK - with RF</v>
      </c>
      <c r="W623" s="218" t="s">
        <v>1198</v>
      </c>
      <c r="X623" s="73" t="s">
        <v>249</v>
      </c>
      <c r="Y623" s="389"/>
      <c r="Z623" s="67"/>
      <c r="AA623" s="67"/>
      <c r="AB623" s="67"/>
      <c r="AC623" s="67"/>
    </row>
    <row r="624" spans="2:29">
      <c r="B624" s="166"/>
      <c r="C624" s="173"/>
      <c r="D624" s="212">
        <v>3</v>
      </c>
      <c r="E624" s="212" t="s">
        <v>411</v>
      </c>
      <c r="F624" s="212" t="str">
        <f t="shared" si="53"/>
        <v>3 - Upstream/Downstream Transportation and Distribution</v>
      </c>
      <c r="G624" s="248" t="s">
        <v>307</v>
      </c>
      <c r="H624" s="212" t="s">
        <v>412</v>
      </c>
      <c r="I624" s="212"/>
      <c r="J624" s="212" t="s">
        <v>308</v>
      </c>
      <c r="K624" s="212" t="s">
        <v>416</v>
      </c>
      <c r="L624" s="212" t="s">
        <v>266</v>
      </c>
      <c r="M624" s="215" t="s">
        <v>606</v>
      </c>
      <c r="N624" s="289"/>
      <c r="O624" s="289"/>
      <c r="P624" s="289"/>
      <c r="Q624" s="289"/>
      <c r="R624" s="289"/>
      <c r="S624" s="232">
        <v>0.11157</v>
      </c>
      <c r="T624" s="388">
        <v>0.13516</v>
      </c>
      <c r="U624" s="212" t="str">
        <f t="shared" si="55"/>
        <v>tonne.km</v>
      </c>
      <c r="V624" s="212" t="str">
        <f t="shared" si="56"/>
        <v>International, to/from non-UK - with RF</v>
      </c>
      <c r="W624" s="218" t="s">
        <v>1199</v>
      </c>
      <c r="X624" s="73" t="s">
        <v>249</v>
      </c>
      <c r="Y624" s="389"/>
      <c r="Z624" s="67"/>
      <c r="AA624" s="67"/>
      <c r="AB624" s="67"/>
      <c r="AC624" s="67"/>
    </row>
    <row r="625" spans="2:29">
      <c r="B625" s="166"/>
      <c r="C625" s="173"/>
      <c r="D625" s="212">
        <v>3</v>
      </c>
      <c r="E625" s="212" t="s">
        <v>411</v>
      </c>
      <c r="F625" s="212" t="str">
        <f t="shared" si="53"/>
        <v>3 - Upstream/Downstream Transportation and Distribution</v>
      </c>
      <c r="G625" s="248" t="s">
        <v>307</v>
      </c>
      <c r="H625" s="212" t="s">
        <v>417</v>
      </c>
      <c r="I625" s="212"/>
      <c r="J625" s="212" t="s">
        <v>308</v>
      </c>
      <c r="K625" s="212" t="s">
        <v>418</v>
      </c>
      <c r="L625" s="212" t="s">
        <v>206</v>
      </c>
      <c r="M625" s="215" t="s">
        <v>607</v>
      </c>
      <c r="N625" s="289"/>
      <c r="O625" s="289"/>
      <c r="P625" s="289"/>
      <c r="Q625" s="289"/>
      <c r="R625" s="289"/>
      <c r="S625" s="232">
        <v>0.11809</v>
      </c>
      <c r="T625" s="388">
        <v>0.14871000000000001</v>
      </c>
      <c r="U625" s="212" t="str">
        <f t="shared" si="55"/>
        <v>tonne.km</v>
      </c>
      <c r="V625" s="212" t="str">
        <f t="shared" si="56"/>
        <v>Diesel - Rigid (&gt;3.5 - 7.5 tonnes) - Average Laden</v>
      </c>
      <c r="W625" s="218" t="s">
        <v>1200</v>
      </c>
      <c r="X625" s="73" t="s">
        <v>249</v>
      </c>
      <c r="Y625" s="389"/>
      <c r="Z625" s="67"/>
      <c r="AA625" s="67"/>
      <c r="AB625" s="67"/>
      <c r="AC625" s="67"/>
    </row>
    <row r="626" spans="2:29">
      <c r="B626" s="166"/>
      <c r="C626" s="173"/>
      <c r="D626" s="212">
        <v>3</v>
      </c>
      <c r="E626" s="212" t="s">
        <v>411</v>
      </c>
      <c r="F626" s="212" t="str">
        <f t="shared" ref="F626:F689" si="57">D626&amp;" - "&amp;E626</f>
        <v>3 - Upstream/Downstream Transportation and Distribution</v>
      </c>
      <c r="G626" s="248" t="s">
        <v>307</v>
      </c>
      <c r="H626" s="212" t="s">
        <v>417</v>
      </c>
      <c r="I626" s="212"/>
      <c r="J626" s="212" t="s">
        <v>308</v>
      </c>
      <c r="K626" s="212" t="s">
        <v>418</v>
      </c>
      <c r="L626" s="212" t="s">
        <v>206</v>
      </c>
      <c r="M626" s="215" t="s">
        <v>607</v>
      </c>
      <c r="N626" s="289"/>
      <c r="O626" s="289"/>
      <c r="P626" s="289"/>
      <c r="Q626" s="289"/>
      <c r="R626" s="289"/>
      <c r="S626" s="232">
        <v>0.1166</v>
      </c>
      <c r="T626" s="388">
        <v>0.14091000000000001</v>
      </c>
      <c r="U626" s="212" t="str">
        <f t="shared" si="55"/>
        <v>km</v>
      </c>
      <c r="V626" s="212" t="str">
        <f t="shared" si="56"/>
        <v>Diesel - Rigid (&gt;3.5 - 7.5 tonnes) - Average Laden</v>
      </c>
      <c r="W626" s="218" t="s">
        <v>1200</v>
      </c>
      <c r="X626" s="73" t="s">
        <v>249</v>
      </c>
      <c r="Y626" s="389"/>
      <c r="Z626" s="67"/>
      <c r="AA626" s="67"/>
      <c r="AB626" s="67"/>
      <c r="AC626" s="67"/>
    </row>
    <row r="627" spans="2:29">
      <c r="B627" s="166"/>
      <c r="C627" s="173"/>
      <c r="D627" s="212">
        <v>3</v>
      </c>
      <c r="E627" s="212" t="s">
        <v>411</v>
      </c>
      <c r="F627" s="212" t="str">
        <f t="shared" si="57"/>
        <v>3 - Upstream/Downstream Transportation and Distribution</v>
      </c>
      <c r="G627" s="248" t="s">
        <v>307</v>
      </c>
      <c r="H627" s="212" t="s">
        <v>417</v>
      </c>
      <c r="I627" s="212"/>
      <c r="J627" s="212" t="s">
        <v>308</v>
      </c>
      <c r="K627" s="212" t="s">
        <v>418</v>
      </c>
      <c r="L627" s="212" t="s">
        <v>206</v>
      </c>
      <c r="M627" s="215" t="s">
        <v>607</v>
      </c>
      <c r="N627" s="289"/>
      <c r="O627" s="289"/>
      <c r="P627" s="289"/>
      <c r="Q627" s="289"/>
      <c r="R627" s="289"/>
      <c r="S627" s="232">
        <v>0.18765000000000001</v>
      </c>
      <c r="T627" s="388">
        <v>0.22677</v>
      </c>
      <c r="U627" s="212" t="str">
        <f t="shared" si="55"/>
        <v>miles</v>
      </c>
      <c r="V627" s="212" t="str">
        <f t="shared" si="56"/>
        <v>Diesel - Rigid (&gt;3.5 - 7.5 tonnes) - Average Laden</v>
      </c>
      <c r="W627" s="218" t="s">
        <v>1200</v>
      </c>
      <c r="X627" s="73" t="s">
        <v>249</v>
      </c>
      <c r="Y627" s="389"/>
      <c r="Z627" s="67"/>
      <c r="AA627" s="67"/>
      <c r="AB627" s="67"/>
      <c r="AC627" s="67"/>
    </row>
    <row r="628" spans="2:29">
      <c r="B628" s="166"/>
      <c r="C628" s="173"/>
      <c r="D628" s="212">
        <v>3</v>
      </c>
      <c r="E628" s="212" t="s">
        <v>411</v>
      </c>
      <c r="F628" s="212" t="str">
        <f t="shared" si="57"/>
        <v>3 - Upstream/Downstream Transportation and Distribution</v>
      </c>
      <c r="G628" s="248" t="s">
        <v>307</v>
      </c>
      <c r="H628" s="212" t="s">
        <v>417</v>
      </c>
      <c r="I628" s="212"/>
      <c r="J628" s="212" t="s">
        <v>308</v>
      </c>
      <c r="K628" s="212" t="s">
        <v>420</v>
      </c>
      <c r="L628" s="212" t="s">
        <v>206</v>
      </c>
      <c r="M628" s="215" t="s">
        <v>608</v>
      </c>
      <c r="N628" s="289"/>
      <c r="O628" s="289"/>
      <c r="P628" s="289"/>
      <c r="Q628" s="289"/>
      <c r="R628" s="289"/>
      <c r="S628" s="232">
        <v>8.2379999999999995E-2</v>
      </c>
      <c r="T628" s="388">
        <v>0.10269</v>
      </c>
      <c r="U628" s="212" t="str">
        <f t="shared" si="55"/>
        <v>tonne.km</v>
      </c>
      <c r="V628" s="212" t="str">
        <f t="shared" si="56"/>
        <v>Diesel - Rigid (&gt;7.5 tonnes-17 tonnes) - Average Laden</v>
      </c>
      <c r="W628" s="218" t="s">
        <v>1201</v>
      </c>
      <c r="X628" s="73" t="s">
        <v>249</v>
      </c>
      <c r="Y628" s="389"/>
      <c r="Z628" s="67"/>
      <c r="AA628" s="67"/>
      <c r="AB628" s="67"/>
      <c r="AC628" s="67"/>
    </row>
    <row r="629" spans="2:29">
      <c r="B629" s="166"/>
      <c r="C629" s="173"/>
      <c r="D629" s="212">
        <v>3</v>
      </c>
      <c r="E629" s="212" t="s">
        <v>411</v>
      </c>
      <c r="F629" s="212" t="str">
        <f t="shared" si="57"/>
        <v>3 - Upstream/Downstream Transportation and Distribution</v>
      </c>
      <c r="G629" s="248" t="s">
        <v>307</v>
      </c>
      <c r="H629" s="212" t="s">
        <v>417</v>
      </c>
      <c r="I629" s="212"/>
      <c r="J629" s="212" t="s">
        <v>308</v>
      </c>
      <c r="K629" s="212" t="s">
        <v>420</v>
      </c>
      <c r="L629" s="212" t="s">
        <v>206</v>
      </c>
      <c r="M629" s="215" t="s">
        <v>608</v>
      </c>
      <c r="N629" s="289"/>
      <c r="O629" s="289"/>
      <c r="P629" s="289"/>
      <c r="Q629" s="289"/>
      <c r="R629" s="289"/>
      <c r="S629" s="232">
        <v>0.14219999999999999</v>
      </c>
      <c r="T629" s="388">
        <v>0.17183999999999999</v>
      </c>
      <c r="U629" s="212" t="str">
        <f t="shared" si="55"/>
        <v>km</v>
      </c>
      <c r="V629" s="212" t="str">
        <f t="shared" si="56"/>
        <v>Diesel - Rigid (&gt;7.5 tonnes-17 tonnes) - Average Laden</v>
      </c>
      <c r="W629" s="218" t="s">
        <v>1201</v>
      </c>
      <c r="X629" s="73" t="s">
        <v>249</v>
      </c>
      <c r="Y629" s="389"/>
      <c r="Z629" s="67"/>
      <c r="AA629" s="67"/>
      <c r="AB629" s="67"/>
      <c r="AC629" s="67"/>
    </row>
    <row r="630" spans="2:29">
      <c r="B630" s="166"/>
      <c r="C630" s="173"/>
      <c r="D630" s="212">
        <v>3</v>
      </c>
      <c r="E630" s="212" t="s">
        <v>411</v>
      </c>
      <c r="F630" s="212" t="str">
        <f t="shared" si="57"/>
        <v>3 - Upstream/Downstream Transportation and Distribution</v>
      </c>
      <c r="G630" s="248" t="s">
        <v>307</v>
      </c>
      <c r="H630" s="212" t="s">
        <v>417</v>
      </c>
      <c r="I630" s="212"/>
      <c r="J630" s="212" t="s">
        <v>308</v>
      </c>
      <c r="K630" s="212" t="s">
        <v>420</v>
      </c>
      <c r="L630" s="212" t="s">
        <v>206</v>
      </c>
      <c r="M630" s="215" t="s">
        <v>608</v>
      </c>
      <c r="N630" s="289"/>
      <c r="O630" s="289"/>
      <c r="P630" s="289"/>
      <c r="Q630" s="289"/>
      <c r="R630" s="289"/>
      <c r="S630" s="232">
        <v>0.22883999999999999</v>
      </c>
      <c r="T630" s="388">
        <v>0.27655000000000002</v>
      </c>
      <c r="U630" s="212" t="str">
        <f t="shared" si="55"/>
        <v>miles</v>
      </c>
      <c r="V630" s="212" t="str">
        <f t="shared" si="56"/>
        <v>Diesel - Rigid (&gt;7.5 tonnes-17 tonnes) - Average Laden</v>
      </c>
      <c r="W630" s="218" t="s">
        <v>1201</v>
      </c>
      <c r="X630" s="73" t="s">
        <v>249</v>
      </c>
      <c r="Y630" s="389"/>
      <c r="Z630" s="67"/>
      <c r="AA630" s="67"/>
      <c r="AB630" s="67"/>
      <c r="AC630" s="67"/>
    </row>
    <row r="631" spans="2:29">
      <c r="B631" s="166"/>
      <c r="C631" s="173"/>
      <c r="D631" s="212">
        <v>3</v>
      </c>
      <c r="E631" s="212" t="s">
        <v>411</v>
      </c>
      <c r="F631" s="212" t="str">
        <f t="shared" si="57"/>
        <v>3 - Upstream/Downstream Transportation and Distribution</v>
      </c>
      <c r="G631" s="248" t="s">
        <v>307</v>
      </c>
      <c r="H631" s="212" t="s">
        <v>417</v>
      </c>
      <c r="I631" s="212"/>
      <c r="J631" s="212" t="s">
        <v>308</v>
      </c>
      <c r="K631" s="212" t="s">
        <v>421</v>
      </c>
      <c r="L631" s="212" t="s">
        <v>206</v>
      </c>
      <c r="M631" s="215" t="s">
        <v>609</v>
      </c>
      <c r="N631" s="289"/>
      <c r="O631" s="289"/>
      <c r="P631" s="289"/>
      <c r="Q631" s="289"/>
      <c r="R631" s="289"/>
      <c r="S631" s="232">
        <v>4.4010000000000001E-2</v>
      </c>
      <c r="T631" s="388">
        <v>4.4510000000000001E-2</v>
      </c>
      <c r="U631" s="212" t="str">
        <f t="shared" si="55"/>
        <v>tonne.km</v>
      </c>
      <c r="V631" s="212" t="str">
        <f t="shared" si="56"/>
        <v>Diesel - Rigid (&gt;17 tonnes) - Average Laden</v>
      </c>
      <c r="W631" s="218" t="s">
        <v>1202</v>
      </c>
      <c r="X631" s="73" t="s">
        <v>249</v>
      </c>
      <c r="Y631" s="389"/>
      <c r="Z631" s="67"/>
      <c r="AA631" s="67"/>
      <c r="AB631" s="67"/>
      <c r="AC631" s="67"/>
    </row>
    <row r="632" spans="2:29">
      <c r="B632" s="166"/>
      <c r="C632" s="173"/>
      <c r="D632" s="212">
        <v>3</v>
      </c>
      <c r="E632" s="212" t="s">
        <v>411</v>
      </c>
      <c r="F632" s="212" t="str">
        <f t="shared" si="57"/>
        <v>3 - Upstream/Downstream Transportation and Distribution</v>
      </c>
      <c r="G632" s="248" t="s">
        <v>307</v>
      </c>
      <c r="H632" s="212" t="s">
        <v>417</v>
      </c>
      <c r="I632" s="212"/>
      <c r="J632" s="212" t="s">
        <v>308</v>
      </c>
      <c r="K632" s="212" t="s">
        <v>421</v>
      </c>
      <c r="L632" s="212" t="s">
        <v>206</v>
      </c>
      <c r="M632" s="215" t="s">
        <v>609</v>
      </c>
      <c r="N632" s="289"/>
      <c r="O632" s="289"/>
      <c r="P632" s="289"/>
      <c r="Q632" s="289"/>
      <c r="R632" s="289"/>
      <c r="S632" s="232">
        <v>0.23227999999999999</v>
      </c>
      <c r="T632" s="388">
        <v>0.28269</v>
      </c>
      <c r="U632" s="212" t="str">
        <f t="shared" si="55"/>
        <v>km</v>
      </c>
      <c r="V632" s="212" t="str">
        <f t="shared" si="56"/>
        <v>Diesel - Rigid (&gt;17 tonnes) - Average Laden</v>
      </c>
      <c r="W632" s="218" t="s">
        <v>1202</v>
      </c>
      <c r="X632" s="73" t="s">
        <v>249</v>
      </c>
      <c r="Y632" s="389"/>
      <c r="Z632" s="67"/>
      <c r="AA632" s="67"/>
      <c r="AB632" s="67"/>
      <c r="AC632" s="67"/>
    </row>
    <row r="633" spans="2:29">
      <c r="B633" s="166"/>
      <c r="C633" s="173"/>
      <c r="D633" s="212">
        <v>3</v>
      </c>
      <c r="E633" s="212" t="s">
        <v>411</v>
      </c>
      <c r="F633" s="212" t="str">
        <f t="shared" si="57"/>
        <v>3 - Upstream/Downstream Transportation and Distribution</v>
      </c>
      <c r="G633" s="248" t="s">
        <v>307</v>
      </c>
      <c r="H633" s="212" t="s">
        <v>417</v>
      </c>
      <c r="I633" s="212"/>
      <c r="J633" s="212" t="s">
        <v>308</v>
      </c>
      <c r="K633" s="212" t="s">
        <v>421</v>
      </c>
      <c r="L633" s="212" t="s">
        <v>206</v>
      </c>
      <c r="M633" s="215" t="s">
        <v>609</v>
      </c>
      <c r="N633" s="289"/>
      <c r="O633" s="289"/>
      <c r="P633" s="289"/>
      <c r="Q633" s="289"/>
      <c r="R633" s="289"/>
      <c r="S633" s="232">
        <v>0.37381999999999999</v>
      </c>
      <c r="T633" s="388">
        <v>0.45495000000000002</v>
      </c>
      <c r="U633" s="212" t="str">
        <f t="shared" si="55"/>
        <v>miles</v>
      </c>
      <c r="V633" s="212" t="str">
        <f t="shared" si="56"/>
        <v>Diesel - Rigid (&gt;17 tonnes) - Average Laden</v>
      </c>
      <c r="W633" s="218" t="s">
        <v>1202</v>
      </c>
      <c r="X633" s="73" t="s">
        <v>249</v>
      </c>
      <c r="Y633" s="389"/>
      <c r="Z633" s="67"/>
      <c r="AA633" s="67"/>
      <c r="AB633" s="67"/>
      <c r="AC633" s="67"/>
    </row>
    <row r="634" spans="2:29">
      <c r="B634" s="166"/>
      <c r="C634" s="173"/>
      <c r="D634" s="212">
        <v>3</v>
      </c>
      <c r="E634" s="212" t="s">
        <v>411</v>
      </c>
      <c r="F634" s="212" t="str">
        <f t="shared" si="57"/>
        <v>3 - Upstream/Downstream Transportation and Distribution</v>
      </c>
      <c r="G634" s="248" t="s">
        <v>307</v>
      </c>
      <c r="H634" s="212" t="s">
        <v>417</v>
      </c>
      <c r="I634" s="212"/>
      <c r="J634" s="212" t="s">
        <v>308</v>
      </c>
      <c r="K634" s="212" t="s">
        <v>250</v>
      </c>
      <c r="L634" s="212" t="s">
        <v>206</v>
      </c>
      <c r="M634" s="215" t="s">
        <v>610</v>
      </c>
      <c r="N634" s="289"/>
      <c r="O634" s="289"/>
      <c r="P634" s="289"/>
      <c r="Q634" s="289"/>
      <c r="R634" s="289"/>
      <c r="S634" s="232">
        <v>5.0410000000000003E-2</v>
      </c>
      <c r="T634" s="388">
        <v>5.1589999999999997E-2</v>
      </c>
      <c r="U634" s="212" t="str">
        <f t="shared" si="55"/>
        <v>tonne.km</v>
      </c>
      <c r="V634" s="212" t="str">
        <f t="shared" si="56"/>
        <v>Diesel - All rigids - Average Laden</v>
      </c>
      <c r="W634" s="218" t="s">
        <v>1203</v>
      </c>
      <c r="X634" s="73" t="s">
        <v>249</v>
      </c>
      <c r="Y634" s="389"/>
      <c r="Z634" s="67"/>
      <c r="AA634" s="67"/>
      <c r="AB634" s="67"/>
      <c r="AC634" s="67"/>
    </row>
    <row r="635" spans="2:29">
      <c r="B635" s="166"/>
      <c r="C635" s="173"/>
      <c r="D635" s="212">
        <v>3</v>
      </c>
      <c r="E635" s="212" t="s">
        <v>411</v>
      </c>
      <c r="F635" s="212" t="str">
        <f t="shared" si="57"/>
        <v>3 - Upstream/Downstream Transportation and Distribution</v>
      </c>
      <c r="G635" s="248" t="s">
        <v>307</v>
      </c>
      <c r="H635" s="212" t="s">
        <v>417</v>
      </c>
      <c r="I635" s="212"/>
      <c r="J635" s="212" t="s">
        <v>308</v>
      </c>
      <c r="K635" s="212" t="s">
        <v>250</v>
      </c>
      <c r="L635" s="212" t="s">
        <v>206</v>
      </c>
      <c r="M635" s="215" t="s">
        <v>610</v>
      </c>
      <c r="N635" s="289"/>
      <c r="O635" s="289"/>
      <c r="P635" s="289"/>
      <c r="Q635" s="289"/>
      <c r="R635" s="289"/>
      <c r="S635" s="232">
        <v>0.19478999999999999</v>
      </c>
      <c r="T635" s="388">
        <v>0.23882999999999999</v>
      </c>
      <c r="U635" s="212" t="str">
        <f t="shared" si="55"/>
        <v>km</v>
      </c>
      <c r="V635" s="212" t="str">
        <f t="shared" si="56"/>
        <v>Diesel - All rigids - Average Laden</v>
      </c>
      <c r="W635" s="218" t="s">
        <v>1203</v>
      </c>
      <c r="X635" s="73" t="s">
        <v>249</v>
      </c>
      <c r="Y635" s="389"/>
      <c r="Z635" s="67"/>
      <c r="AA635" s="67"/>
      <c r="AB635" s="67"/>
      <c r="AC635" s="67"/>
    </row>
    <row r="636" spans="2:29">
      <c r="B636" s="166"/>
      <c r="C636" s="173"/>
      <c r="D636" s="212">
        <v>3</v>
      </c>
      <c r="E636" s="212" t="s">
        <v>411</v>
      </c>
      <c r="F636" s="212" t="str">
        <f t="shared" si="57"/>
        <v>3 - Upstream/Downstream Transportation and Distribution</v>
      </c>
      <c r="G636" s="248" t="s">
        <v>307</v>
      </c>
      <c r="H636" s="212" t="s">
        <v>417</v>
      </c>
      <c r="I636" s="212"/>
      <c r="J636" s="212" t="s">
        <v>308</v>
      </c>
      <c r="K636" s="212" t="s">
        <v>250</v>
      </c>
      <c r="L636" s="212" t="s">
        <v>206</v>
      </c>
      <c r="M636" s="215" t="s">
        <v>610</v>
      </c>
      <c r="N636" s="289"/>
      <c r="O636" s="289"/>
      <c r="P636" s="289"/>
      <c r="Q636" s="289"/>
      <c r="R636" s="289"/>
      <c r="S636" s="232">
        <v>0.31348999999999999</v>
      </c>
      <c r="T636" s="388">
        <v>0.38435999999999998</v>
      </c>
      <c r="U636" s="212" t="str">
        <f t="shared" si="55"/>
        <v>miles</v>
      </c>
      <c r="V636" s="212" t="str">
        <f t="shared" si="56"/>
        <v>Diesel - All rigids - Average Laden</v>
      </c>
      <c r="W636" s="218" t="s">
        <v>1203</v>
      </c>
      <c r="X636" s="73" t="s">
        <v>249</v>
      </c>
      <c r="Y636" s="389"/>
      <c r="Z636" s="67"/>
      <c r="AA636" s="67"/>
      <c r="AB636" s="67"/>
      <c r="AC636" s="67"/>
    </row>
    <row r="637" spans="2:29">
      <c r="B637" s="166"/>
      <c r="C637" s="173"/>
      <c r="D637" s="212">
        <v>3</v>
      </c>
      <c r="E637" s="212" t="s">
        <v>411</v>
      </c>
      <c r="F637" s="212" t="str">
        <f t="shared" si="57"/>
        <v>3 - Upstream/Downstream Transportation and Distribution</v>
      </c>
      <c r="G637" s="248" t="s">
        <v>307</v>
      </c>
      <c r="H637" s="212" t="s">
        <v>417</v>
      </c>
      <c r="I637" s="212"/>
      <c r="J637" s="212" t="s">
        <v>308</v>
      </c>
      <c r="K637" s="212" t="s">
        <v>422</v>
      </c>
      <c r="L637" s="212" t="s">
        <v>206</v>
      </c>
      <c r="M637" s="215" t="s">
        <v>611</v>
      </c>
      <c r="N637" s="289"/>
      <c r="O637" s="289"/>
      <c r="P637" s="289"/>
      <c r="Q637" s="289"/>
      <c r="R637" s="289"/>
      <c r="S637" s="232">
        <v>3.0470000000000001E-2</v>
      </c>
      <c r="T637" s="388">
        <v>3.243E-2</v>
      </c>
      <c r="U637" s="212" t="str">
        <f t="shared" si="55"/>
        <v>tonne.km</v>
      </c>
      <c r="V637" s="212" t="str">
        <f t="shared" si="56"/>
        <v>Diesel - Articulated (&gt;3.5 - 33t) - Average Laden</v>
      </c>
      <c r="W637" s="218" t="s">
        <v>1204</v>
      </c>
      <c r="X637" s="73" t="s">
        <v>249</v>
      </c>
      <c r="Y637" s="389"/>
      <c r="Z637" s="67"/>
      <c r="AA637" s="67"/>
      <c r="AB637" s="67"/>
      <c r="AC637" s="67"/>
    </row>
    <row r="638" spans="2:29">
      <c r="B638" s="166"/>
      <c r="C638" s="173"/>
      <c r="D638" s="212">
        <v>3</v>
      </c>
      <c r="E638" s="212" t="s">
        <v>411</v>
      </c>
      <c r="F638" s="212" t="str">
        <f t="shared" si="57"/>
        <v>3 - Upstream/Downstream Transportation and Distribution</v>
      </c>
      <c r="G638" s="248" t="s">
        <v>307</v>
      </c>
      <c r="H638" s="212" t="s">
        <v>417</v>
      </c>
      <c r="I638" s="212"/>
      <c r="J638" s="212" t="s">
        <v>308</v>
      </c>
      <c r="K638" s="212" t="s">
        <v>422</v>
      </c>
      <c r="L638" s="212" t="s">
        <v>206</v>
      </c>
      <c r="M638" s="215" t="s">
        <v>611</v>
      </c>
      <c r="N638" s="289"/>
      <c r="O638" s="289"/>
      <c r="P638" s="289"/>
      <c r="Q638" s="289"/>
      <c r="R638" s="289"/>
      <c r="S638" s="232">
        <v>0.18579000000000001</v>
      </c>
      <c r="T638" s="388">
        <v>0.21501000000000001</v>
      </c>
      <c r="U638" s="212" t="str">
        <f t="shared" si="55"/>
        <v>km</v>
      </c>
      <c r="V638" s="212" t="str">
        <f t="shared" si="56"/>
        <v>Diesel - Articulated (&gt;3.5 - 33t) - Average Laden</v>
      </c>
      <c r="W638" s="218" t="s">
        <v>1204</v>
      </c>
      <c r="X638" s="73" t="s">
        <v>249</v>
      </c>
      <c r="Y638" s="389"/>
      <c r="Z638" s="67"/>
      <c r="AA638" s="67"/>
      <c r="AB638" s="67"/>
      <c r="AC638" s="67"/>
    </row>
    <row r="639" spans="2:29">
      <c r="B639" s="166"/>
      <c r="C639" s="173"/>
      <c r="D639" s="212">
        <v>3</v>
      </c>
      <c r="E639" s="212" t="s">
        <v>411</v>
      </c>
      <c r="F639" s="212" t="str">
        <f t="shared" si="57"/>
        <v>3 - Upstream/Downstream Transportation and Distribution</v>
      </c>
      <c r="G639" s="248" t="s">
        <v>307</v>
      </c>
      <c r="H639" s="212" t="s">
        <v>417</v>
      </c>
      <c r="I639" s="212"/>
      <c r="J639" s="212" t="s">
        <v>308</v>
      </c>
      <c r="K639" s="212" t="s">
        <v>422</v>
      </c>
      <c r="L639" s="212" t="s">
        <v>206</v>
      </c>
      <c r="M639" s="215" t="s">
        <v>611</v>
      </c>
      <c r="N639" s="289"/>
      <c r="O639" s="289"/>
      <c r="P639" s="289"/>
      <c r="Q639" s="289"/>
      <c r="R639" s="289"/>
      <c r="S639" s="232">
        <v>0.29898999999999998</v>
      </c>
      <c r="T639" s="388">
        <v>0.34603</v>
      </c>
      <c r="U639" s="212" t="str">
        <f t="shared" si="55"/>
        <v>miles</v>
      </c>
      <c r="V639" s="212" t="str">
        <f t="shared" si="56"/>
        <v>Diesel - Articulated (&gt;3.5 - 33t) - Average Laden</v>
      </c>
      <c r="W639" s="218" t="s">
        <v>1204</v>
      </c>
      <c r="X639" s="73" t="s">
        <v>249</v>
      </c>
      <c r="Y639" s="389"/>
      <c r="Z639" s="67"/>
      <c r="AA639" s="67"/>
      <c r="AB639" s="67"/>
      <c r="AC639" s="67"/>
    </row>
    <row r="640" spans="2:29">
      <c r="B640" s="166"/>
      <c r="C640" s="173"/>
      <c r="D640" s="212">
        <v>3</v>
      </c>
      <c r="E640" s="212" t="s">
        <v>411</v>
      </c>
      <c r="F640" s="212" t="str">
        <f t="shared" si="57"/>
        <v>3 - Upstream/Downstream Transportation and Distribution</v>
      </c>
      <c r="G640" s="248" t="s">
        <v>307</v>
      </c>
      <c r="H640" s="212" t="s">
        <v>417</v>
      </c>
      <c r="I640" s="212"/>
      <c r="J640" s="212" t="s">
        <v>308</v>
      </c>
      <c r="K640" s="212" t="s">
        <v>423</v>
      </c>
      <c r="L640" s="212" t="s">
        <v>206</v>
      </c>
      <c r="M640" s="215" t="s">
        <v>612</v>
      </c>
      <c r="N640" s="289"/>
      <c r="O640" s="289"/>
      <c r="P640" s="289"/>
      <c r="Q640" s="289"/>
      <c r="R640" s="289"/>
      <c r="S640" s="232">
        <v>1.934E-2</v>
      </c>
      <c r="T640" s="388">
        <v>2.078E-2</v>
      </c>
      <c r="U640" s="212" t="str">
        <f t="shared" si="55"/>
        <v>tonne.km</v>
      </c>
      <c r="V640" s="212" t="str">
        <f t="shared" si="56"/>
        <v>Diesel - Articulated (&gt;33t) - Average Laden</v>
      </c>
      <c r="W640" s="218" t="s">
        <v>1205</v>
      </c>
      <c r="X640" s="73" t="s">
        <v>249</v>
      </c>
      <c r="Y640" s="389"/>
      <c r="Z640" s="67"/>
      <c r="AA640" s="67"/>
      <c r="AB640" s="67"/>
      <c r="AC640" s="67"/>
    </row>
    <row r="641" spans="2:29">
      <c r="B641" s="166"/>
      <c r="C641" s="173"/>
      <c r="D641" s="212">
        <v>3</v>
      </c>
      <c r="E641" s="212" t="s">
        <v>411</v>
      </c>
      <c r="F641" s="212" t="str">
        <f t="shared" si="57"/>
        <v>3 - Upstream/Downstream Transportation and Distribution</v>
      </c>
      <c r="G641" s="248" t="s">
        <v>307</v>
      </c>
      <c r="H641" s="212" t="s">
        <v>417</v>
      </c>
      <c r="I641" s="212"/>
      <c r="J641" s="212" t="s">
        <v>308</v>
      </c>
      <c r="K641" s="212" t="s">
        <v>423</v>
      </c>
      <c r="L641" s="212" t="s">
        <v>206</v>
      </c>
      <c r="M641" s="215" t="s">
        <v>612</v>
      </c>
      <c r="N641" s="289"/>
      <c r="O641" s="289"/>
      <c r="P641" s="289"/>
      <c r="Q641" s="289"/>
      <c r="R641" s="289"/>
      <c r="S641" s="232">
        <v>0.22106000000000001</v>
      </c>
      <c r="T641" s="388">
        <v>0.25584000000000001</v>
      </c>
      <c r="U641" s="212" t="str">
        <f t="shared" si="55"/>
        <v>km</v>
      </c>
      <c r="V641" s="212" t="str">
        <f t="shared" si="56"/>
        <v>Diesel - Articulated (&gt;33t) - Average Laden</v>
      </c>
      <c r="W641" s="218" t="s">
        <v>1205</v>
      </c>
      <c r="X641" s="73" t="s">
        <v>249</v>
      </c>
      <c r="Y641" s="389"/>
      <c r="Z641" s="67"/>
      <c r="AA641" s="67"/>
      <c r="AB641" s="67"/>
      <c r="AC641" s="67"/>
    </row>
    <row r="642" spans="2:29">
      <c r="B642" s="166"/>
      <c r="C642" s="173"/>
      <c r="D642" s="212">
        <v>3</v>
      </c>
      <c r="E642" s="212" t="s">
        <v>411</v>
      </c>
      <c r="F642" s="212" t="str">
        <f t="shared" si="57"/>
        <v>3 - Upstream/Downstream Transportation and Distribution</v>
      </c>
      <c r="G642" s="248" t="s">
        <v>307</v>
      </c>
      <c r="H642" s="212" t="s">
        <v>417</v>
      </c>
      <c r="I642" s="212"/>
      <c r="J642" s="212" t="s">
        <v>308</v>
      </c>
      <c r="K642" s="212" t="s">
        <v>423</v>
      </c>
      <c r="L642" s="212" t="s">
        <v>206</v>
      </c>
      <c r="M642" s="215" t="s">
        <v>612</v>
      </c>
      <c r="N642" s="289"/>
      <c r="O642" s="289"/>
      <c r="P642" s="289"/>
      <c r="Q642" s="289"/>
      <c r="R642" s="289"/>
      <c r="S642" s="232">
        <v>0.35576999999999998</v>
      </c>
      <c r="T642" s="388">
        <v>0.41172999999999998</v>
      </c>
      <c r="U642" s="212" t="str">
        <f t="shared" si="55"/>
        <v>miles</v>
      </c>
      <c r="V642" s="212" t="str">
        <f t="shared" si="56"/>
        <v>Diesel - Articulated (&gt;33t) - Average Laden</v>
      </c>
      <c r="W642" s="218" t="s">
        <v>1205</v>
      </c>
      <c r="X642" s="73" t="s">
        <v>249</v>
      </c>
      <c r="Y642" s="389"/>
      <c r="Z642" s="67"/>
      <c r="AA642" s="67"/>
      <c r="AB642" s="67"/>
      <c r="AC642" s="67"/>
    </row>
    <row r="643" spans="2:29">
      <c r="B643" s="166"/>
      <c r="C643" s="173"/>
      <c r="D643" s="212">
        <v>3</v>
      </c>
      <c r="E643" s="212" t="s">
        <v>411</v>
      </c>
      <c r="F643" s="212" t="str">
        <f t="shared" si="57"/>
        <v>3 - Upstream/Downstream Transportation and Distribution</v>
      </c>
      <c r="G643" s="248" t="s">
        <v>307</v>
      </c>
      <c r="H643" s="212" t="s">
        <v>417</v>
      </c>
      <c r="I643" s="212"/>
      <c r="J643" s="212" t="s">
        <v>308</v>
      </c>
      <c r="K643" s="212" t="s">
        <v>424</v>
      </c>
      <c r="L643" s="212" t="s">
        <v>206</v>
      </c>
      <c r="M643" s="215" t="s">
        <v>613</v>
      </c>
      <c r="N643" s="289"/>
      <c r="O643" s="289"/>
      <c r="P643" s="289"/>
      <c r="Q643" s="289"/>
      <c r="R643" s="289"/>
      <c r="S643" s="232">
        <v>1.959E-2</v>
      </c>
      <c r="T643" s="388">
        <v>2.1049999999999999E-2</v>
      </c>
      <c r="U643" s="212" t="str">
        <f t="shared" si="55"/>
        <v>tonne.km</v>
      </c>
      <c r="V643" s="212" t="str">
        <f t="shared" si="56"/>
        <v>Diesel - All artics - Average Laden</v>
      </c>
      <c r="W643" s="218" t="s">
        <v>1206</v>
      </c>
      <c r="X643" s="73" t="s">
        <v>249</v>
      </c>
      <c r="Y643" s="389"/>
      <c r="Z643" s="67"/>
      <c r="AA643" s="67"/>
      <c r="AB643" s="67"/>
      <c r="AC643" s="67"/>
    </row>
    <row r="644" spans="2:29">
      <c r="B644" s="166"/>
      <c r="C644" s="173"/>
      <c r="D644" s="212">
        <v>3</v>
      </c>
      <c r="E644" s="212" t="s">
        <v>411</v>
      </c>
      <c r="F644" s="212" t="str">
        <f t="shared" si="57"/>
        <v>3 - Upstream/Downstream Transportation and Distribution</v>
      </c>
      <c r="G644" s="248" t="s">
        <v>307</v>
      </c>
      <c r="H644" s="212" t="s">
        <v>417</v>
      </c>
      <c r="I644" s="212"/>
      <c r="J644" s="212" t="s">
        <v>308</v>
      </c>
      <c r="K644" s="212" t="s">
        <v>424</v>
      </c>
      <c r="L644" s="212" t="s">
        <v>206</v>
      </c>
      <c r="M644" s="215" t="s">
        <v>613</v>
      </c>
      <c r="N644" s="289"/>
      <c r="O644" s="289"/>
      <c r="P644" s="289"/>
      <c r="Q644" s="289"/>
      <c r="R644" s="289"/>
      <c r="S644" s="232">
        <v>0.21962000000000001</v>
      </c>
      <c r="T644" s="388">
        <v>0.25409999999999999</v>
      </c>
      <c r="U644" s="212" t="str">
        <f t="shared" si="55"/>
        <v>km</v>
      </c>
      <c r="V644" s="212" t="str">
        <f t="shared" si="56"/>
        <v>Diesel - All artics - Average Laden</v>
      </c>
      <c r="W644" s="218" t="s">
        <v>1206</v>
      </c>
      <c r="X644" s="73" t="s">
        <v>249</v>
      </c>
      <c r="Y644" s="389"/>
      <c r="Z644" s="67"/>
      <c r="AA644" s="67"/>
      <c r="AB644" s="67"/>
      <c r="AC644" s="67"/>
    </row>
    <row r="645" spans="2:29">
      <c r="B645" s="166"/>
      <c r="C645" s="173"/>
      <c r="D645" s="212">
        <v>3</v>
      </c>
      <c r="E645" s="212" t="s">
        <v>411</v>
      </c>
      <c r="F645" s="212" t="str">
        <f t="shared" si="57"/>
        <v>3 - Upstream/Downstream Transportation and Distribution</v>
      </c>
      <c r="G645" s="248" t="s">
        <v>307</v>
      </c>
      <c r="H645" s="212" t="s">
        <v>417</v>
      </c>
      <c r="I645" s="212"/>
      <c r="J645" s="212" t="s">
        <v>308</v>
      </c>
      <c r="K645" s="212" t="s">
        <v>424</v>
      </c>
      <c r="L645" s="212" t="s">
        <v>206</v>
      </c>
      <c r="M645" s="215" t="s">
        <v>613</v>
      </c>
      <c r="N645" s="289"/>
      <c r="O645" s="289"/>
      <c r="P645" s="289"/>
      <c r="Q645" s="289"/>
      <c r="R645" s="289"/>
      <c r="S645" s="232">
        <v>0.35343999999999998</v>
      </c>
      <c r="T645" s="388">
        <v>0.40894000000000003</v>
      </c>
      <c r="U645" s="212" t="str">
        <f t="shared" si="55"/>
        <v>miles</v>
      </c>
      <c r="V645" s="212" t="str">
        <f t="shared" si="56"/>
        <v>Diesel - All artics - Average Laden</v>
      </c>
      <c r="W645" s="218" t="s">
        <v>1206</v>
      </c>
      <c r="X645" s="73" t="s">
        <v>249</v>
      </c>
      <c r="Y645" s="389"/>
      <c r="Z645" s="67"/>
      <c r="AA645" s="67"/>
      <c r="AB645" s="67"/>
      <c r="AC645" s="67"/>
    </row>
    <row r="646" spans="2:29">
      <c r="B646" s="166"/>
      <c r="C646" s="173"/>
      <c r="D646" s="212">
        <v>3</v>
      </c>
      <c r="E646" s="212" t="s">
        <v>411</v>
      </c>
      <c r="F646" s="212" t="str">
        <f t="shared" si="57"/>
        <v>3 - Upstream/Downstream Transportation and Distribution</v>
      </c>
      <c r="G646" s="248" t="s">
        <v>307</v>
      </c>
      <c r="H646" s="212" t="s">
        <v>417</v>
      </c>
      <c r="I646" s="212"/>
      <c r="J646" s="212" t="s">
        <v>308</v>
      </c>
      <c r="K646" s="212" t="s">
        <v>425</v>
      </c>
      <c r="L646" s="212" t="s">
        <v>206</v>
      </c>
      <c r="M646" s="215" t="s">
        <v>614</v>
      </c>
      <c r="N646" s="289"/>
      <c r="O646" s="289"/>
      <c r="P646" s="289"/>
      <c r="Q646" s="289"/>
      <c r="R646" s="289"/>
      <c r="S646" s="232">
        <v>2.5989999999999999E-2</v>
      </c>
      <c r="T646" s="388">
        <v>2.7519999999999999E-2</v>
      </c>
      <c r="U646" s="212" t="str">
        <f t="shared" si="55"/>
        <v>tonne.km</v>
      </c>
      <c r="V646" s="212" t="str">
        <f t="shared" si="56"/>
        <v>Diesel - All HGVs - Average Laden</v>
      </c>
      <c r="W646" s="218" t="s">
        <v>1207</v>
      </c>
      <c r="X646" s="73" t="s">
        <v>249</v>
      </c>
      <c r="Y646" s="389"/>
      <c r="Z646" s="67"/>
      <c r="AA646" s="67"/>
      <c r="AB646" s="67"/>
      <c r="AC646" s="67"/>
    </row>
    <row r="647" spans="2:29">
      <c r="B647" s="166"/>
      <c r="C647" s="173"/>
      <c r="D647" s="212">
        <v>3</v>
      </c>
      <c r="E647" s="212" t="s">
        <v>411</v>
      </c>
      <c r="F647" s="212" t="str">
        <f t="shared" si="57"/>
        <v>3 - Upstream/Downstream Transportation and Distribution</v>
      </c>
      <c r="G647" s="248" t="s">
        <v>307</v>
      </c>
      <c r="H647" s="212" t="s">
        <v>417</v>
      </c>
      <c r="I647" s="212"/>
      <c r="J647" s="212" t="s">
        <v>308</v>
      </c>
      <c r="K647" s="212" t="s">
        <v>425</v>
      </c>
      <c r="L647" s="212" t="s">
        <v>206</v>
      </c>
      <c r="M647" s="215" t="s">
        <v>614</v>
      </c>
      <c r="N647" s="289"/>
      <c r="O647" s="289"/>
      <c r="P647" s="289"/>
      <c r="Q647" s="289"/>
      <c r="R647" s="289"/>
      <c r="S647" s="232">
        <v>0.20888999999999999</v>
      </c>
      <c r="T647" s="388">
        <v>0.24796000000000001</v>
      </c>
      <c r="U647" s="212" t="str">
        <f t="shared" si="55"/>
        <v>km</v>
      </c>
      <c r="V647" s="212" t="str">
        <f t="shared" si="56"/>
        <v>Diesel - All HGVs - Average Laden</v>
      </c>
      <c r="W647" s="218" t="s">
        <v>1207</v>
      </c>
      <c r="X647" s="73" t="s">
        <v>249</v>
      </c>
      <c r="Y647" s="389"/>
      <c r="Z647" s="67"/>
      <c r="AA647" s="67"/>
      <c r="AB647" s="67"/>
      <c r="AC647" s="67"/>
    </row>
    <row r="648" spans="2:29">
      <c r="B648" s="166"/>
      <c r="C648" s="173"/>
      <c r="D648" s="212">
        <v>3</v>
      </c>
      <c r="E648" s="212" t="s">
        <v>411</v>
      </c>
      <c r="F648" s="212" t="str">
        <f t="shared" si="57"/>
        <v>3 - Upstream/Downstream Transportation and Distribution</v>
      </c>
      <c r="G648" s="248" t="s">
        <v>307</v>
      </c>
      <c r="H648" s="212" t="s">
        <v>417</v>
      </c>
      <c r="I648" s="212"/>
      <c r="J648" s="212" t="s">
        <v>308</v>
      </c>
      <c r="K648" s="212" t="s">
        <v>425</v>
      </c>
      <c r="L648" s="212" t="s">
        <v>206</v>
      </c>
      <c r="M648" s="215" t="s">
        <v>614</v>
      </c>
      <c r="N648" s="289"/>
      <c r="O648" s="289"/>
      <c r="P648" s="289"/>
      <c r="Q648" s="289"/>
      <c r="R648" s="289"/>
      <c r="S648" s="232">
        <v>0.33617999999999998</v>
      </c>
      <c r="T648" s="388">
        <v>0.39905000000000002</v>
      </c>
      <c r="U648" s="212" t="str">
        <f t="shared" si="55"/>
        <v>miles</v>
      </c>
      <c r="V648" s="212" t="str">
        <f t="shared" si="56"/>
        <v>Diesel - All HGVs - Average Laden</v>
      </c>
      <c r="W648" s="218" t="s">
        <v>1207</v>
      </c>
      <c r="X648" s="73" t="s">
        <v>249</v>
      </c>
      <c r="Y648" s="389"/>
      <c r="Z648" s="67"/>
      <c r="AA648" s="67"/>
      <c r="AB648" s="67"/>
      <c r="AC648" s="67"/>
    </row>
    <row r="649" spans="2:29">
      <c r="B649" s="166"/>
      <c r="C649" s="173"/>
      <c r="D649" s="212">
        <v>3</v>
      </c>
      <c r="E649" s="212" t="s">
        <v>411</v>
      </c>
      <c r="F649" s="212" t="str">
        <f t="shared" si="57"/>
        <v>3 - Upstream/Downstream Transportation and Distribution</v>
      </c>
      <c r="G649" s="248" t="s">
        <v>307</v>
      </c>
      <c r="H649" s="212" t="s">
        <v>426</v>
      </c>
      <c r="I649" s="212"/>
      <c r="J649" s="212" t="s">
        <v>308</v>
      </c>
      <c r="K649" s="212" t="s">
        <v>418</v>
      </c>
      <c r="L649" s="212" t="s">
        <v>427</v>
      </c>
      <c r="M649" s="215" t="s">
        <v>615</v>
      </c>
      <c r="N649" s="289"/>
      <c r="O649" s="289"/>
      <c r="P649" s="289"/>
      <c r="Q649" s="289"/>
      <c r="R649" s="289"/>
      <c r="S649" s="232">
        <v>0.14088000000000001</v>
      </c>
      <c r="T649" s="388">
        <v>0.14871000000000001</v>
      </c>
      <c r="U649" s="212" t="str">
        <f t="shared" si="55"/>
        <v>tonne.km</v>
      </c>
      <c r="V649" s="212" t="str">
        <f t="shared" si="56"/>
        <v>Diesel - Rigid (&gt;3.5 - 7.5 tonnes) - Average Laden</v>
      </c>
      <c r="W649" s="218" t="s">
        <v>1200</v>
      </c>
      <c r="X649" s="73" t="s">
        <v>249</v>
      </c>
      <c r="Y649" s="389"/>
      <c r="Z649" s="67"/>
      <c r="AA649" s="67"/>
      <c r="AB649" s="67"/>
      <c r="AC649" s="67"/>
    </row>
    <row r="650" spans="2:29">
      <c r="B650" s="166"/>
      <c r="C650" s="173"/>
      <c r="D650" s="212">
        <v>3</v>
      </c>
      <c r="E650" s="212" t="s">
        <v>411</v>
      </c>
      <c r="F650" s="212" t="str">
        <f t="shared" si="57"/>
        <v>3 - Upstream/Downstream Transportation and Distribution</v>
      </c>
      <c r="G650" s="248" t="s">
        <v>307</v>
      </c>
      <c r="H650" s="212" t="s">
        <v>426</v>
      </c>
      <c r="I650" s="212"/>
      <c r="J650" s="212" t="s">
        <v>308</v>
      </c>
      <c r="K650" s="212" t="s">
        <v>418</v>
      </c>
      <c r="L650" s="212" t="s">
        <v>427</v>
      </c>
      <c r="M650" s="215" t="s">
        <v>615</v>
      </c>
      <c r="N650" s="289"/>
      <c r="O650" s="289"/>
      <c r="P650" s="289"/>
      <c r="Q650" s="289"/>
      <c r="R650" s="289"/>
      <c r="S650" s="232">
        <v>0.1391</v>
      </c>
      <c r="T650" s="388">
        <v>0.14091000000000001</v>
      </c>
      <c r="U650" s="212" t="str">
        <f t="shared" si="55"/>
        <v>km</v>
      </c>
      <c r="V650" s="212" t="str">
        <f t="shared" si="56"/>
        <v>Diesel - Rigid (&gt;3.5 - 7.5 tonnes) - Average Laden</v>
      </c>
      <c r="W650" s="218" t="s">
        <v>1200</v>
      </c>
      <c r="X650" s="73" t="s">
        <v>249</v>
      </c>
      <c r="Y650" s="389"/>
      <c r="Z650" s="67"/>
      <c r="AA650" s="67"/>
      <c r="AB650" s="67"/>
      <c r="AC650" s="67"/>
    </row>
    <row r="651" spans="2:29">
      <c r="B651" s="166"/>
      <c r="C651" s="173"/>
      <c r="D651" s="212">
        <v>3</v>
      </c>
      <c r="E651" s="212" t="s">
        <v>411</v>
      </c>
      <c r="F651" s="212" t="str">
        <f t="shared" si="57"/>
        <v>3 - Upstream/Downstream Transportation and Distribution</v>
      </c>
      <c r="G651" s="248" t="s">
        <v>307</v>
      </c>
      <c r="H651" s="212" t="s">
        <v>426</v>
      </c>
      <c r="I651" s="212"/>
      <c r="J651" s="212" t="s">
        <v>308</v>
      </c>
      <c r="K651" s="212" t="s">
        <v>418</v>
      </c>
      <c r="L651" s="212" t="s">
        <v>427</v>
      </c>
      <c r="M651" s="215" t="s">
        <v>615</v>
      </c>
      <c r="N651" s="289"/>
      <c r="O651" s="289"/>
      <c r="P651" s="289"/>
      <c r="Q651" s="289"/>
      <c r="R651" s="289"/>
      <c r="S651" s="232">
        <v>0.22384999999999999</v>
      </c>
      <c r="T651" s="388">
        <v>0.22677</v>
      </c>
      <c r="U651" s="212" t="str">
        <f t="shared" si="55"/>
        <v>miles</v>
      </c>
      <c r="V651" s="212" t="str">
        <f t="shared" si="56"/>
        <v>Diesel - Rigid (&gt;3.5 - 7.5 tonnes) - Average Laden</v>
      </c>
      <c r="W651" s="218" t="s">
        <v>1200</v>
      </c>
      <c r="X651" s="73" t="s">
        <v>249</v>
      </c>
      <c r="Y651" s="389"/>
      <c r="Z651" s="67"/>
      <c r="AA651" s="67"/>
      <c r="AB651" s="67"/>
      <c r="AC651" s="67"/>
    </row>
    <row r="652" spans="2:29">
      <c r="B652" s="166"/>
      <c r="C652" s="173"/>
      <c r="D652" s="212">
        <v>3</v>
      </c>
      <c r="E652" s="212" t="s">
        <v>411</v>
      </c>
      <c r="F652" s="212" t="str">
        <f t="shared" si="57"/>
        <v>3 - Upstream/Downstream Transportation and Distribution</v>
      </c>
      <c r="G652" s="248" t="s">
        <v>307</v>
      </c>
      <c r="H652" s="212" t="s">
        <v>426</v>
      </c>
      <c r="I652" s="212"/>
      <c r="J652" s="212" t="s">
        <v>308</v>
      </c>
      <c r="K652" s="212" t="s">
        <v>420</v>
      </c>
      <c r="L652" s="212" t="s">
        <v>427</v>
      </c>
      <c r="M652" s="215" t="s">
        <v>616</v>
      </c>
      <c r="N652" s="289"/>
      <c r="O652" s="289"/>
      <c r="P652" s="289"/>
      <c r="Q652" s="289"/>
      <c r="R652" s="289"/>
      <c r="S652" s="232">
        <v>9.8269999999999996E-2</v>
      </c>
      <c r="T652" s="388">
        <v>0.10269</v>
      </c>
      <c r="U652" s="212" t="str">
        <f t="shared" si="55"/>
        <v>tonne.km</v>
      </c>
      <c r="V652" s="212" t="str">
        <f t="shared" si="56"/>
        <v>Diesel - Rigid (&gt;7.5 tonnes-17 tonnes) - Average Laden</v>
      </c>
      <c r="W652" s="218" t="s">
        <v>1201</v>
      </c>
      <c r="X652" s="73" t="s">
        <v>249</v>
      </c>
      <c r="Y652" s="389"/>
      <c r="Z652" s="67"/>
      <c r="AA652" s="67"/>
      <c r="AB652" s="67"/>
      <c r="AC652" s="67"/>
    </row>
    <row r="653" spans="2:29">
      <c r="B653" s="166"/>
      <c r="C653" s="173"/>
      <c r="D653" s="212">
        <v>3</v>
      </c>
      <c r="E653" s="212" t="s">
        <v>411</v>
      </c>
      <c r="F653" s="212" t="str">
        <f t="shared" si="57"/>
        <v>3 - Upstream/Downstream Transportation and Distribution</v>
      </c>
      <c r="G653" s="248" t="s">
        <v>307</v>
      </c>
      <c r="H653" s="212" t="s">
        <v>426</v>
      </c>
      <c r="I653" s="212"/>
      <c r="J653" s="212" t="s">
        <v>308</v>
      </c>
      <c r="K653" s="212" t="s">
        <v>420</v>
      </c>
      <c r="L653" s="212" t="s">
        <v>427</v>
      </c>
      <c r="M653" s="215" t="s">
        <v>616</v>
      </c>
      <c r="N653" s="289"/>
      <c r="O653" s="289"/>
      <c r="P653" s="289"/>
      <c r="Q653" s="289"/>
      <c r="R653" s="289"/>
      <c r="S653" s="232">
        <v>0.16963</v>
      </c>
      <c r="T653" s="388">
        <v>0.17183999999999999</v>
      </c>
      <c r="U653" s="212" t="str">
        <f t="shared" ref="U653:U672" si="58">U295</f>
        <v>km</v>
      </c>
      <c r="V653" s="212" t="str">
        <f t="shared" si="56"/>
        <v>Diesel - Rigid (&gt;7.5 tonnes-17 tonnes) - Average Laden</v>
      </c>
      <c r="W653" s="218" t="s">
        <v>1201</v>
      </c>
      <c r="X653" s="73" t="s">
        <v>249</v>
      </c>
      <c r="Y653" s="389"/>
      <c r="Z653" s="67"/>
      <c r="AA653" s="67"/>
      <c r="AB653" s="67"/>
      <c r="AC653" s="67"/>
    </row>
    <row r="654" spans="2:29">
      <c r="B654" s="166"/>
      <c r="C654" s="173"/>
      <c r="D654" s="212">
        <v>3</v>
      </c>
      <c r="E654" s="212" t="s">
        <v>411</v>
      </c>
      <c r="F654" s="212" t="str">
        <f t="shared" si="57"/>
        <v>3 - Upstream/Downstream Transportation and Distribution</v>
      </c>
      <c r="G654" s="248" t="s">
        <v>307</v>
      </c>
      <c r="H654" s="212" t="s">
        <v>426</v>
      </c>
      <c r="I654" s="212"/>
      <c r="J654" s="212" t="s">
        <v>308</v>
      </c>
      <c r="K654" s="212" t="s">
        <v>420</v>
      </c>
      <c r="L654" s="212" t="s">
        <v>427</v>
      </c>
      <c r="M654" s="215" t="s">
        <v>616</v>
      </c>
      <c r="N654" s="289"/>
      <c r="O654" s="289"/>
      <c r="P654" s="289"/>
      <c r="Q654" s="289"/>
      <c r="R654" s="289"/>
      <c r="S654" s="232">
        <v>0.27299000000000001</v>
      </c>
      <c r="T654" s="388">
        <v>0.27655000000000002</v>
      </c>
      <c r="U654" s="212" t="str">
        <f t="shared" si="58"/>
        <v>miles</v>
      </c>
      <c r="V654" s="212" t="str">
        <f t="shared" si="56"/>
        <v>Diesel - Rigid (&gt;7.5 tonnes-17 tonnes) - Average Laden</v>
      </c>
      <c r="W654" s="218" t="s">
        <v>1201</v>
      </c>
      <c r="X654" s="73" t="s">
        <v>249</v>
      </c>
      <c r="Y654" s="389"/>
      <c r="Z654" s="67"/>
      <c r="AA654" s="67"/>
      <c r="AB654" s="67"/>
      <c r="AC654" s="67"/>
    </row>
    <row r="655" spans="2:29">
      <c r="B655" s="166"/>
      <c r="C655" s="173"/>
      <c r="D655" s="212">
        <v>3</v>
      </c>
      <c r="E655" s="212" t="s">
        <v>411</v>
      </c>
      <c r="F655" s="212" t="str">
        <f t="shared" si="57"/>
        <v>3 - Upstream/Downstream Transportation and Distribution</v>
      </c>
      <c r="G655" s="248" t="s">
        <v>307</v>
      </c>
      <c r="H655" s="212" t="s">
        <v>426</v>
      </c>
      <c r="I655" s="212"/>
      <c r="J655" s="212" t="s">
        <v>308</v>
      </c>
      <c r="K655" s="212" t="s">
        <v>421</v>
      </c>
      <c r="L655" s="212" t="s">
        <v>427</v>
      </c>
      <c r="M655" s="215" t="s">
        <v>617</v>
      </c>
      <c r="N655" s="289"/>
      <c r="O655" s="289"/>
      <c r="P655" s="289"/>
      <c r="Q655" s="289"/>
      <c r="R655" s="289"/>
      <c r="S655" s="232">
        <v>5.2499999999999998E-2</v>
      </c>
      <c r="T655" s="388">
        <v>4.4510000000000001E-2</v>
      </c>
      <c r="U655" s="212" t="str">
        <f t="shared" si="58"/>
        <v>tonne.km</v>
      </c>
      <c r="V655" s="212" t="str">
        <f t="shared" si="56"/>
        <v>Diesel - Rigid (&gt;17 tonnes) - Average Laden</v>
      </c>
      <c r="W655" s="218" t="s">
        <v>1202</v>
      </c>
      <c r="X655" s="73" t="s">
        <v>249</v>
      </c>
      <c r="Y655" s="389"/>
      <c r="Z655" s="67"/>
      <c r="AA655" s="67"/>
      <c r="AB655" s="67"/>
      <c r="AC655" s="67"/>
    </row>
    <row r="656" spans="2:29">
      <c r="B656" s="166"/>
      <c r="C656" s="173"/>
      <c r="D656" s="212">
        <v>3</v>
      </c>
      <c r="E656" s="212" t="s">
        <v>411</v>
      </c>
      <c r="F656" s="212" t="str">
        <f t="shared" si="57"/>
        <v>3 - Upstream/Downstream Transportation and Distribution</v>
      </c>
      <c r="G656" s="248" t="s">
        <v>307</v>
      </c>
      <c r="H656" s="212" t="s">
        <v>426</v>
      </c>
      <c r="I656" s="212"/>
      <c r="J656" s="212" t="s">
        <v>308</v>
      </c>
      <c r="K656" s="212" t="s">
        <v>421</v>
      </c>
      <c r="L656" s="212" t="s">
        <v>427</v>
      </c>
      <c r="M656" s="215" t="s">
        <v>617</v>
      </c>
      <c r="N656" s="289"/>
      <c r="O656" s="289"/>
      <c r="P656" s="289"/>
      <c r="Q656" s="289"/>
      <c r="R656" s="289"/>
      <c r="S656" s="232">
        <v>0.27709</v>
      </c>
      <c r="T656" s="388">
        <v>0.28269</v>
      </c>
      <c r="U656" s="212" t="str">
        <f t="shared" si="58"/>
        <v>km</v>
      </c>
      <c r="V656" s="212" t="str">
        <f t="shared" si="56"/>
        <v>Diesel - Rigid (&gt;17 tonnes) - Average Laden</v>
      </c>
      <c r="W656" s="218" t="s">
        <v>1202</v>
      </c>
      <c r="X656" s="73" t="s">
        <v>249</v>
      </c>
      <c r="Y656" s="389"/>
      <c r="Z656" s="67"/>
      <c r="AA656" s="67"/>
      <c r="AB656" s="67"/>
      <c r="AC656" s="67"/>
    </row>
    <row r="657" spans="2:29">
      <c r="B657" s="166"/>
      <c r="C657" s="173"/>
      <c r="D657" s="212">
        <v>3</v>
      </c>
      <c r="E657" s="212" t="s">
        <v>411</v>
      </c>
      <c r="F657" s="212" t="str">
        <f t="shared" si="57"/>
        <v>3 - Upstream/Downstream Transportation and Distribution</v>
      </c>
      <c r="G657" s="248" t="s">
        <v>307</v>
      </c>
      <c r="H657" s="212" t="s">
        <v>426</v>
      </c>
      <c r="I657" s="212"/>
      <c r="J657" s="212" t="s">
        <v>308</v>
      </c>
      <c r="K657" s="212" t="s">
        <v>421</v>
      </c>
      <c r="L657" s="212" t="s">
        <v>427</v>
      </c>
      <c r="M657" s="215" t="s">
        <v>617</v>
      </c>
      <c r="N657" s="289"/>
      <c r="O657" s="289"/>
      <c r="P657" s="289"/>
      <c r="Q657" s="289"/>
      <c r="R657" s="289"/>
      <c r="S657" s="232">
        <v>0.44594</v>
      </c>
      <c r="T657" s="388">
        <v>0.45495000000000002</v>
      </c>
      <c r="U657" s="212" t="str">
        <f t="shared" si="58"/>
        <v>miles</v>
      </c>
      <c r="V657" s="212" t="str">
        <f t="shared" si="56"/>
        <v>Diesel - Rigid (&gt;17 tonnes) - Average Laden</v>
      </c>
      <c r="W657" s="218" t="s">
        <v>1202</v>
      </c>
      <c r="X657" s="73" t="s">
        <v>249</v>
      </c>
      <c r="Y657" s="389"/>
      <c r="Z657" s="67"/>
      <c r="AA657" s="67"/>
      <c r="AB657" s="67"/>
      <c r="AC657" s="67"/>
    </row>
    <row r="658" spans="2:29">
      <c r="B658" s="166"/>
      <c r="C658" s="173"/>
      <c r="D658" s="212">
        <v>3</v>
      </c>
      <c r="E658" s="212" t="s">
        <v>411</v>
      </c>
      <c r="F658" s="212" t="str">
        <f t="shared" si="57"/>
        <v>3 - Upstream/Downstream Transportation and Distribution</v>
      </c>
      <c r="G658" s="248" t="s">
        <v>307</v>
      </c>
      <c r="H658" s="212" t="s">
        <v>426</v>
      </c>
      <c r="I658" s="212"/>
      <c r="J658" s="212" t="s">
        <v>308</v>
      </c>
      <c r="K658" s="212" t="s">
        <v>250</v>
      </c>
      <c r="L658" s="212" t="s">
        <v>427</v>
      </c>
      <c r="M658" s="215" t="s">
        <v>618</v>
      </c>
      <c r="N658" s="289"/>
      <c r="O658" s="289"/>
      <c r="P658" s="289"/>
      <c r="Q658" s="289"/>
      <c r="R658" s="289"/>
      <c r="S658" s="232">
        <v>6.0130000000000003E-2</v>
      </c>
      <c r="T658" s="388">
        <v>5.1589999999999997E-2</v>
      </c>
      <c r="U658" s="212" t="str">
        <f t="shared" si="58"/>
        <v>tonne.km</v>
      </c>
      <c r="V658" s="212" t="str">
        <f t="shared" si="56"/>
        <v>Diesel - All rigids - Average Laden</v>
      </c>
      <c r="W658" s="218" t="s">
        <v>1203</v>
      </c>
      <c r="X658" s="73" t="s">
        <v>249</v>
      </c>
      <c r="Y658" s="389"/>
      <c r="Z658" s="67"/>
      <c r="AA658" s="67"/>
      <c r="AB658" s="67"/>
      <c r="AC658" s="67"/>
    </row>
    <row r="659" spans="2:29">
      <c r="B659" s="166"/>
      <c r="C659" s="173"/>
      <c r="D659" s="212">
        <v>3</v>
      </c>
      <c r="E659" s="212" t="s">
        <v>411</v>
      </c>
      <c r="F659" s="212" t="str">
        <f t="shared" si="57"/>
        <v>3 - Upstream/Downstream Transportation and Distribution</v>
      </c>
      <c r="G659" s="248" t="s">
        <v>307</v>
      </c>
      <c r="H659" s="212" t="s">
        <v>426</v>
      </c>
      <c r="I659" s="212"/>
      <c r="J659" s="212" t="s">
        <v>308</v>
      </c>
      <c r="K659" s="212" t="s">
        <v>250</v>
      </c>
      <c r="L659" s="212" t="s">
        <v>427</v>
      </c>
      <c r="M659" s="215" t="s">
        <v>618</v>
      </c>
      <c r="N659" s="289"/>
      <c r="O659" s="289"/>
      <c r="P659" s="289"/>
      <c r="Q659" s="289"/>
      <c r="R659" s="289"/>
      <c r="S659" s="232">
        <v>0.23236999999999999</v>
      </c>
      <c r="T659" s="388">
        <v>0.23882999999999999</v>
      </c>
      <c r="U659" s="212" t="str">
        <f t="shared" si="58"/>
        <v>km</v>
      </c>
      <c r="V659" s="212" t="str">
        <f t="shared" si="56"/>
        <v>Diesel - All rigids - Average Laden</v>
      </c>
      <c r="W659" s="218" t="s">
        <v>1203</v>
      </c>
      <c r="X659" s="73" t="s">
        <v>249</v>
      </c>
      <c r="Y659" s="389"/>
      <c r="Z659" s="67"/>
      <c r="AA659" s="67"/>
      <c r="AB659" s="67"/>
      <c r="AC659" s="67"/>
    </row>
    <row r="660" spans="2:29">
      <c r="B660" s="166"/>
      <c r="C660" s="173"/>
      <c r="D660" s="212">
        <v>3</v>
      </c>
      <c r="E660" s="212" t="s">
        <v>411</v>
      </c>
      <c r="F660" s="212" t="str">
        <f t="shared" si="57"/>
        <v>3 - Upstream/Downstream Transportation and Distribution</v>
      </c>
      <c r="G660" s="248" t="s">
        <v>307</v>
      </c>
      <c r="H660" s="212" t="s">
        <v>426</v>
      </c>
      <c r="I660" s="212"/>
      <c r="J660" s="212" t="s">
        <v>308</v>
      </c>
      <c r="K660" s="212" t="s">
        <v>250</v>
      </c>
      <c r="L660" s="212" t="s">
        <v>427</v>
      </c>
      <c r="M660" s="215" t="s">
        <v>618</v>
      </c>
      <c r="N660" s="289"/>
      <c r="O660" s="289"/>
      <c r="P660" s="289"/>
      <c r="Q660" s="289"/>
      <c r="R660" s="289"/>
      <c r="S660" s="232">
        <v>0.37397000000000002</v>
      </c>
      <c r="T660" s="388">
        <v>0.38435999999999998</v>
      </c>
      <c r="U660" s="212" t="str">
        <f t="shared" si="58"/>
        <v>miles</v>
      </c>
      <c r="V660" s="212" t="str">
        <f t="shared" si="56"/>
        <v>Diesel - All rigids - Average Laden</v>
      </c>
      <c r="W660" s="218" t="s">
        <v>1203</v>
      </c>
      <c r="X660" s="73" t="s">
        <v>249</v>
      </c>
      <c r="Y660" s="389"/>
      <c r="Z660" s="67"/>
      <c r="AA660" s="67"/>
      <c r="AB660" s="67"/>
      <c r="AC660" s="67"/>
    </row>
    <row r="661" spans="2:29">
      <c r="B661" s="166"/>
      <c r="C661" s="173"/>
      <c r="D661" s="212">
        <v>3</v>
      </c>
      <c r="E661" s="212" t="s">
        <v>411</v>
      </c>
      <c r="F661" s="212" t="str">
        <f t="shared" si="57"/>
        <v>3 - Upstream/Downstream Transportation and Distribution</v>
      </c>
      <c r="G661" s="248" t="s">
        <v>307</v>
      </c>
      <c r="H661" s="212" t="s">
        <v>426</v>
      </c>
      <c r="I661" s="212"/>
      <c r="J661" s="212" t="s">
        <v>308</v>
      </c>
      <c r="K661" s="212" t="s">
        <v>422</v>
      </c>
      <c r="L661" s="212" t="s">
        <v>427</v>
      </c>
      <c r="M661" s="215" t="s">
        <v>619</v>
      </c>
      <c r="N661" s="289"/>
      <c r="O661" s="289"/>
      <c r="P661" s="289"/>
      <c r="Q661" s="289"/>
      <c r="R661" s="289"/>
      <c r="S661" s="232">
        <v>3.533E-2</v>
      </c>
      <c r="T661" s="388">
        <v>3.243E-2</v>
      </c>
      <c r="U661" s="212" t="str">
        <f t="shared" si="58"/>
        <v>tonne.km</v>
      </c>
      <c r="V661" s="212" t="str">
        <f t="shared" si="56"/>
        <v>Diesel - Articulated (&gt;3.5 - 33t) - Average Laden</v>
      </c>
      <c r="W661" s="218" t="s">
        <v>1204</v>
      </c>
      <c r="X661" s="73" t="s">
        <v>249</v>
      </c>
      <c r="Y661" s="389"/>
      <c r="Z661" s="67"/>
      <c r="AA661" s="67"/>
      <c r="AB661" s="67"/>
      <c r="AC661" s="67"/>
    </row>
    <row r="662" spans="2:29">
      <c r="B662" s="166"/>
      <c r="C662" s="173"/>
      <c r="D662" s="212">
        <v>3</v>
      </c>
      <c r="E662" s="212" t="s">
        <v>411</v>
      </c>
      <c r="F662" s="212" t="str">
        <f t="shared" si="57"/>
        <v>3 - Upstream/Downstream Transportation and Distribution</v>
      </c>
      <c r="G662" s="248" t="s">
        <v>307</v>
      </c>
      <c r="H662" s="212" t="s">
        <v>426</v>
      </c>
      <c r="I662" s="212"/>
      <c r="J662" s="212" t="s">
        <v>308</v>
      </c>
      <c r="K662" s="212" t="s">
        <v>422</v>
      </c>
      <c r="L662" s="212" t="s">
        <v>427</v>
      </c>
      <c r="M662" s="215" t="s">
        <v>619</v>
      </c>
      <c r="N662" s="289"/>
      <c r="O662" s="289"/>
      <c r="P662" s="289"/>
      <c r="Q662" s="289"/>
      <c r="R662" s="289"/>
      <c r="S662" s="232">
        <v>0.21539</v>
      </c>
      <c r="T662" s="388">
        <v>0.21501000000000001</v>
      </c>
      <c r="U662" s="212" t="str">
        <f t="shared" si="58"/>
        <v>km</v>
      </c>
      <c r="V662" s="212" t="str">
        <f t="shared" si="56"/>
        <v>Diesel - Articulated (&gt;3.5 - 33t) - Average Laden</v>
      </c>
      <c r="W662" s="218" t="s">
        <v>1204</v>
      </c>
      <c r="X662" s="73" t="s">
        <v>249</v>
      </c>
      <c r="Y662" s="389"/>
      <c r="Z662" s="67"/>
      <c r="AA662" s="67"/>
      <c r="AB662" s="67"/>
      <c r="AC662" s="67"/>
    </row>
    <row r="663" spans="2:29">
      <c r="B663" s="166"/>
      <c r="C663" s="173"/>
      <c r="D663" s="212">
        <v>3</v>
      </c>
      <c r="E663" s="212" t="s">
        <v>411</v>
      </c>
      <c r="F663" s="212" t="str">
        <f t="shared" si="57"/>
        <v>3 - Upstream/Downstream Transportation and Distribution</v>
      </c>
      <c r="G663" s="248" t="s">
        <v>307</v>
      </c>
      <c r="H663" s="212" t="s">
        <v>426</v>
      </c>
      <c r="I663" s="212"/>
      <c r="J663" s="212" t="s">
        <v>308</v>
      </c>
      <c r="K663" s="212" t="s">
        <v>422</v>
      </c>
      <c r="L663" s="212" t="s">
        <v>427</v>
      </c>
      <c r="M663" s="215" t="s">
        <v>619</v>
      </c>
      <c r="N663" s="289"/>
      <c r="O663" s="289"/>
      <c r="P663" s="289"/>
      <c r="Q663" s="289"/>
      <c r="R663" s="289"/>
      <c r="S663" s="232">
        <v>0.34662999999999999</v>
      </c>
      <c r="T663" s="388">
        <v>0.34603</v>
      </c>
      <c r="U663" s="212" t="str">
        <f t="shared" si="58"/>
        <v>miles</v>
      </c>
      <c r="V663" s="212" t="str">
        <f t="shared" si="56"/>
        <v>Diesel - Articulated (&gt;3.5 - 33t) - Average Laden</v>
      </c>
      <c r="W663" s="218" t="s">
        <v>1204</v>
      </c>
      <c r="X663" s="73" t="s">
        <v>249</v>
      </c>
      <c r="Y663" s="389"/>
      <c r="Z663" s="67"/>
      <c r="AA663" s="67"/>
      <c r="AB663" s="67"/>
      <c r="AC663" s="67"/>
    </row>
    <row r="664" spans="2:29">
      <c r="B664" s="166"/>
      <c r="C664" s="173"/>
      <c r="D664" s="212">
        <v>3</v>
      </c>
      <c r="E664" s="212" t="s">
        <v>411</v>
      </c>
      <c r="F664" s="212" t="str">
        <f t="shared" si="57"/>
        <v>3 - Upstream/Downstream Transportation and Distribution</v>
      </c>
      <c r="G664" s="248" t="s">
        <v>307</v>
      </c>
      <c r="H664" s="212" t="s">
        <v>426</v>
      </c>
      <c r="I664" s="212"/>
      <c r="J664" s="212" t="s">
        <v>308</v>
      </c>
      <c r="K664" s="212" t="s">
        <v>423</v>
      </c>
      <c r="L664" s="212" t="s">
        <v>427</v>
      </c>
      <c r="M664" s="215" t="s">
        <v>620</v>
      </c>
      <c r="N664" s="289"/>
      <c r="O664" s="289"/>
      <c r="P664" s="289"/>
      <c r="Q664" s="289"/>
      <c r="R664" s="289"/>
      <c r="S664" s="232">
        <v>2.2419999999999999E-2</v>
      </c>
      <c r="T664" s="388">
        <v>2.078E-2</v>
      </c>
      <c r="U664" s="212" t="str">
        <f t="shared" si="58"/>
        <v>tonne.km</v>
      </c>
      <c r="V664" s="212" t="str">
        <f t="shared" si="56"/>
        <v>Diesel - Articulated (&gt;33t) - Average Laden</v>
      </c>
      <c r="W664" s="218" t="s">
        <v>1205</v>
      </c>
      <c r="X664" s="73" t="s">
        <v>249</v>
      </c>
      <c r="Y664" s="389"/>
      <c r="Z664" s="67"/>
      <c r="AA664" s="67"/>
      <c r="AB664" s="67"/>
      <c r="AC664" s="67"/>
    </row>
    <row r="665" spans="2:29">
      <c r="B665" s="166"/>
      <c r="C665" s="173"/>
      <c r="D665" s="212">
        <v>3</v>
      </c>
      <c r="E665" s="212" t="s">
        <v>411</v>
      </c>
      <c r="F665" s="212" t="str">
        <f t="shared" si="57"/>
        <v>3 - Upstream/Downstream Transportation and Distribution</v>
      </c>
      <c r="G665" s="248" t="s">
        <v>307</v>
      </c>
      <c r="H665" s="212" t="s">
        <v>426</v>
      </c>
      <c r="I665" s="212"/>
      <c r="J665" s="212" t="s">
        <v>308</v>
      </c>
      <c r="K665" s="212" t="s">
        <v>423</v>
      </c>
      <c r="L665" s="212" t="s">
        <v>427</v>
      </c>
      <c r="M665" s="215" t="s">
        <v>620</v>
      </c>
      <c r="N665" s="289"/>
      <c r="O665" s="289"/>
      <c r="P665" s="289"/>
      <c r="Q665" s="289"/>
      <c r="R665" s="289"/>
      <c r="S665" s="232">
        <v>0.25628000000000001</v>
      </c>
      <c r="T665" s="388">
        <v>0.25584000000000001</v>
      </c>
      <c r="U665" s="212" t="str">
        <f t="shared" si="58"/>
        <v>km</v>
      </c>
      <c r="V665" s="212" t="str">
        <f t="shared" si="56"/>
        <v>Diesel - Articulated (&gt;33t) - Average Laden</v>
      </c>
      <c r="W665" s="218" t="s">
        <v>1205</v>
      </c>
      <c r="X665" s="73" t="s">
        <v>249</v>
      </c>
      <c r="Y665" s="389"/>
      <c r="Z665" s="67"/>
      <c r="AA665" s="67"/>
      <c r="AB665" s="67"/>
      <c r="AC665" s="67"/>
    </row>
    <row r="666" spans="2:29">
      <c r="B666" s="166"/>
      <c r="C666" s="173"/>
      <c r="D666" s="212">
        <v>3</v>
      </c>
      <c r="E666" s="212" t="s">
        <v>411</v>
      </c>
      <c r="F666" s="212" t="str">
        <f t="shared" si="57"/>
        <v>3 - Upstream/Downstream Transportation and Distribution</v>
      </c>
      <c r="G666" s="248" t="s">
        <v>307</v>
      </c>
      <c r="H666" s="212" t="s">
        <v>426</v>
      </c>
      <c r="I666" s="212"/>
      <c r="J666" s="212" t="s">
        <v>308</v>
      </c>
      <c r="K666" s="212" t="s">
        <v>423</v>
      </c>
      <c r="L666" s="212" t="s">
        <v>427</v>
      </c>
      <c r="M666" s="215" t="s">
        <v>620</v>
      </c>
      <c r="N666" s="289"/>
      <c r="O666" s="289"/>
      <c r="P666" s="289"/>
      <c r="Q666" s="289"/>
      <c r="R666" s="289"/>
      <c r="S666" s="232">
        <v>0.41243999999999997</v>
      </c>
      <c r="T666" s="388">
        <v>0.41172999999999998</v>
      </c>
      <c r="U666" s="212" t="str">
        <f t="shared" si="58"/>
        <v>miles</v>
      </c>
      <c r="V666" s="212" t="str">
        <f t="shared" si="56"/>
        <v>Diesel - Articulated (&gt;33t) - Average Laden</v>
      </c>
      <c r="W666" s="218" t="s">
        <v>1205</v>
      </c>
      <c r="X666" s="73" t="s">
        <v>249</v>
      </c>
      <c r="Y666" s="389"/>
      <c r="Z666" s="67"/>
      <c r="AA666" s="67"/>
      <c r="AB666" s="67"/>
      <c r="AC666" s="67"/>
    </row>
    <row r="667" spans="2:29">
      <c r="B667" s="166"/>
      <c r="C667" s="173"/>
      <c r="D667" s="212">
        <v>3</v>
      </c>
      <c r="E667" s="212" t="s">
        <v>411</v>
      </c>
      <c r="F667" s="212" t="str">
        <f t="shared" si="57"/>
        <v>3 - Upstream/Downstream Transportation and Distribution</v>
      </c>
      <c r="G667" s="248" t="s">
        <v>307</v>
      </c>
      <c r="H667" s="212" t="s">
        <v>426</v>
      </c>
      <c r="I667" s="212"/>
      <c r="J667" s="212" t="s">
        <v>308</v>
      </c>
      <c r="K667" s="212" t="s">
        <v>424</v>
      </c>
      <c r="L667" s="212" t="s">
        <v>427</v>
      </c>
      <c r="M667" s="215" t="s">
        <v>621</v>
      </c>
      <c r="N667" s="289"/>
      <c r="O667" s="289"/>
      <c r="P667" s="289"/>
      <c r="Q667" s="289"/>
      <c r="R667" s="289"/>
      <c r="S667" s="232">
        <v>2.2710000000000001E-2</v>
      </c>
      <c r="T667" s="388">
        <v>2.1049999999999999E-2</v>
      </c>
      <c r="U667" s="212" t="str">
        <f t="shared" si="58"/>
        <v>tonne.km</v>
      </c>
      <c r="V667" s="212" t="str">
        <f t="shared" si="56"/>
        <v>Diesel - All artics - Average Laden</v>
      </c>
      <c r="W667" s="218" t="s">
        <v>1206</v>
      </c>
      <c r="X667" s="73" t="s">
        <v>249</v>
      </c>
      <c r="Y667" s="389"/>
      <c r="Z667" s="67"/>
      <c r="AA667" s="67"/>
      <c r="AB667" s="67"/>
      <c r="AC667" s="67"/>
    </row>
    <row r="668" spans="2:29">
      <c r="B668" s="166"/>
      <c r="C668" s="173"/>
      <c r="D668" s="212">
        <v>3</v>
      </c>
      <c r="E668" s="212" t="s">
        <v>411</v>
      </c>
      <c r="F668" s="212" t="str">
        <f t="shared" si="57"/>
        <v>3 - Upstream/Downstream Transportation and Distribution</v>
      </c>
      <c r="G668" s="248" t="s">
        <v>307</v>
      </c>
      <c r="H668" s="212" t="s">
        <v>426</v>
      </c>
      <c r="I668" s="212"/>
      <c r="J668" s="212" t="s">
        <v>308</v>
      </c>
      <c r="K668" s="212" t="s">
        <v>424</v>
      </c>
      <c r="L668" s="212" t="s">
        <v>427</v>
      </c>
      <c r="M668" s="215" t="s">
        <v>621</v>
      </c>
      <c r="N668" s="289"/>
      <c r="O668" s="289"/>
      <c r="P668" s="289"/>
      <c r="Q668" s="289"/>
      <c r="R668" s="289"/>
      <c r="S668" s="232">
        <v>0.25461</v>
      </c>
      <c r="T668" s="388">
        <v>0.25409999999999999</v>
      </c>
      <c r="U668" s="212" t="str">
        <f t="shared" si="58"/>
        <v>km</v>
      </c>
      <c r="V668" s="212" t="str">
        <f t="shared" si="56"/>
        <v>Diesel - All artics - Average Laden</v>
      </c>
      <c r="W668" s="218" t="s">
        <v>1206</v>
      </c>
      <c r="X668" s="73" t="s">
        <v>249</v>
      </c>
      <c r="Y668" s="389"/>
      <c r="Z668" s="67"/>
      <c r="AA668" s="67"/>
      <c r="AB668" s="67"/>
      <c r="AC668" s="67"/>
    </row>
    <row r="669" spans="2:29">
      <c r="B669" s="166"/>
      <c r="C669" s="173"/>
      <c r="D669" s="212">
        <v>3</v>
      </c>
      <c r="E669" s="212" t="s">
        <v>411</v>
      </c>
      <c r="F669" s="212" t="str">
        <f t="shared" si="57"/>
        <v>3 - Upstream/Downstream Transportation and Distribution</v>
      </c>
      <c r="G669" s="248" t="s">
        <v>307</v>
      </c>
      <c r="H669" s="212" t="s">
        <v>426</v>
      </c>
      <c r="I669" s="212"/>
      <c r="J669" s="212" t="s">
        <v>308</v>
      </c>
      <c r="K669" s="212" t="s">
        <v>424</v>
      </c>
      <c r="L669" s="212" t="s">
        <v>427</v>
      </c>
      <c r="M669" s="215" t="s">
        <v>621</v>
      </c>
      <c r="N669" s="289"/>
      <c r="O669" s="289"/>
      <c r="P669" s="289"/>
      <c r="Q669" s="289"/>
      <c r="R669" s="289"/>
      <c r="S669" s="232">
        <v>0.40975</v>
      </c>
      <c r="T669" s="388">
        <v>0.40894000000000003</v>
      </c>
      <c r="U669" s="212" t="str">
        <f t="shared" si="58"/>
        <v>miles</v>
      </c>
      <c r="V669" s="212" t="str">
        <f t="shared" si="56"/>
        <v>Diesel - All artics - Average Laden</v>
      </c>
      <c r="W669" s="218" t="s">
        <v>1206</v>
      </c>
      <c r="X669" s="73" t="s">
        <v>249</v>
      </c>
      <c r="Y669" s="389"/>
      <c r="Z669" s="67"/>
      <c r="AA669" s="67"/>
      <c r="AB669" s="67"/>
      <c r="AC669" s="67"/>
    </row>
    <row r="670" spans="2:29">
      <c r="B670" s="166"/>
      <c r="C670" s="173"/>
      <c r="D670" s="212">
        <v>3</v>
      </c>
      <c r="E670" s="212" t="s">
        <v>411</v>
      </c>
      <c r="F670" s="212" t="str">
        <f t="shared" si="57"/>
        <v>3 - Upstream/Downstream Transportation and Distribution</v>
      </c>
      <c r="G670" s="248" t="s">
        <v>307</v>
      </c>
      <c r="H670" s="212" t="s">
        <v>426</v>
      </c>
      <c r="I670" s="212"/>
      <c r="J670" s="212" t="s">
        <v>308</v>
      </c>
      <c r="K670" s="212" t="s">
        <v>425</v>
      </c>
      <c r="L670" s="212" t="s">
        <v>427</v>
      </c>
      <c r="M670" s="215" t="s">
        <v>622</v>
      </c>
      <c r="N670" s="289"/>
      <c r="O670" s="289"/>
      <c r="P670" s="289"/>
      <c r="Q670" s="289"/>
      <c r="R670" s="289"/>
      <c r="S670" s="232">
        <v>3.0499999999999999E-2</v>
      </c>
      <c r="T670" s="388">
        <v>2.7519999999999999E-2</v>
      </c>
      <c r="U670" s="212" t="str">
        <f t="shared" si="58"/>
        <v>tonne.km</v>
      </c>
      <c r="V670" s="212" t="str">
        <f t="shared" si="56"/>
        <v>Diesel - All HGVs - Average Laden</v>
      </c>
      <c r="W670" s="218" t="s">
        <v>1207</v>
      </c>
      <c r="X670" s="73" t="s">
        <v>249</v>
      </c>
      <c r="Y670" s="389"/>
      <c r="Z670" s="67"/>
      <c r="AA670" s="67"/>
      <c r="AB670" s="67"/>
      <c r="AC670" s="67"/>
    </row>
    <row r="671" spans="2:29">
      <c r="B671" s="166"/>
      <c r="C671" s="173"/>
      <c r="D671" s="212">
        <v>3</v>
      </c>
      <c r="E671" s="212" t="s">
        <v>411</v>
      </c>
      <c r="F671" s="212" t="str">
        <f t="shared" si="57"/>
        <v>3 - Upstream/Downstream Transportation and Distribution</v>
      </c>
      <c r="G671" s="248" t="s">
        <v>307</v>
      </c>
      <c r="H671" s="212" t="s">
        <v>426</v>
      </c>
      <c r="I671" s="212"/>
      <c r="J671" s="212" t="s">
        <v>308</v>
      </c>
      <c r="K671" s="212" t="s">
        <v>425</v>
      </c>
      <c r="L671" s="212" t="s">
        <v>427</v>
      </c>
      <c r="M671" s="215" t="s">
        <v>622</v>
      </c>
      <c r="N671" s="289"/>
      <c r="O671" s="289"/>
      <c r="P671" s="289"/>
      <c r="Q671" s="289"/>
      <c r="R671" s="289"/>
      <c r="S671" s="232">
        <v>0.24521000000000001</v>
      </c>
      <c r="T671" s="388">
        <v>0.24796000000000001</v>
      </c>
      <c r="U671" s="212" t="str">
        <f t="shared" si="58"/>
        <v>km</v>
      </c>
      <c r="V671" s="212" t="str">
        <f t="shared" si="56"/>
        <v>Diesel - All HGVs - Average Laden</v>
      </c>
      <c r="W671" s="218" t="s">
        <v>1207</v>
      </c>
      <c r="X671" s="73" t="s">
        <v>249</v>
      </c>
      <c r="Y671" s="389"/>
      <c r="Z671" s="67"/>
      <c r="AA671" s="67"/>
      <c r="AB671" s="67"/>
      <c r="AC671" s="67"/>
    </row>
    <row r="672" spans="2:29">
      <c r="B672" s="166"/>
      <c r="C672" s="173"/>
      <c r="D672" s="212">
        <v>3</v>
      </c>
      <c r="E672" s="212" t="s">
        <v>411</v>
      </c>
      <c r="F672" s="212" t="str">
        <f t="shared" si="57"/>
        <v>3 - Upstream/Downstream Transportation and Distribution</v>
      </c>
      <c r="G672" s="248" t="s">
        <v>307</v>
      </c>
      <c r="H672" s="212" t="s">
        <v>426</v>
      </c>
      <c r="I672" s="212"/>
      <c r="J672" s="212" t="s">
        <v>308</v>
      </c>
      <c r="K672" s="212" t="s">
        <v>425</v>
      </c>
      <c r="L672" s="212" t="s">
        <v>427</v>
      </c>
      <c r="M672" s="215" t="s">
        <v>622</v>
      </c>
      <c r="N672" s="289"/>
      <c r="O672" s="289"/>
      <c r="P672" s="289"/>
      <c r="Q672" s="289"/>
      <c r="R672" s="289"/>
      <c r="S672" s="232">
        <v>0.39462000000000003</v>
      </c>
      <c r="T672" s="388">
        <v>0.39905000000000002</v>
      </c>
      <c r="U672" s="212" t="str">
        <f t="shared" si="58"/>
        <v>miles</v>
      </c>
      <c r="V672" s="212" t="str">
        <f t="shared" si="56"/>
        <v>Diesel - All HGVs - Average Laden</v>
      </c>
      <c r="W672" s="218" t="s">
        <v>1207</v>
      </c>
      <c r="X672" s="73" t="s">
        <v>246</v>
      </c>
      <c r="Y672" s="389"/>
      <c r="Z672" s="67"/>
      <c r="AA672" s="67"/>
      <c r="AB672" s="67"/>
      <c r="AC672" s="67"/>
    </row>
    <row r="673" spans="2:29">
      <c r="B673" s="166"/>
      <c r="C673" s="173"/>
      <c r="D673" s="212">
        <v>3</v>
      </c>
      <c r="E673" s="212" t="s">
        <v>411</v>
      </c>
      <c r="F673" s="212" t="str">
        <f t="shared" si="57"/>
        <v>3 - Upstream/Downstream Transportation and Distribution</v>
      </c>
      <c r="G673" s="248" t="s">
        <v>307</v>
      </c>
      <c r="H673" s="212" t="s">
        <v>257</v>
      </c>
      <c r="I673" s="212"/>
      <c r="J673" s="212" t="s">
        <v>308</v>
      </c>
      <c r="K673" s="212" t="s">
        <v>248</v>
      </c>
      <c r="L673" s="212" t="s">
        <v>257</v>
      </c>
      <c r="M673" s="215" t="s">
        <v>623</v>
      </c>
      <c r="N673" s="289"/>
      <c r="O673" s="289"/>
      <c r="P673" s="289"/>
      <c r="Q673" s="289"/>
      <c r="R673" s="289"/>
      <c r="S673" s="232">
        <v>5.8880000000000002E-2</v>
      </c>
      <c r="T673" s="388">
        <v>5.9130000000000002E-2</v>
      </c>
      <c r="U673" s="212" t="s">
        <v>204</v>
      </c>
      <c r="V673" s="212" t="s">
        <v>597</v>
      </c>
      <c r="W673" s="218" t="s">
        <v>1267</v>
      </c>
      <c r="X673" s="73" t="s">
        <v>246</v>
      </c>
      <c r="Y673" s="389"/>
      <c r="Z673" s="67"/>
      <c r="AA673" s="67"/>
      <c r="AB673" s="67"/>
      <c r="AC673" s="67"/>
    </row>
    <row r="674" spans="2:29">
      <c r="B674" s="166"/>
      <c r="C674" s="173"/>
      <c r="D674" s="212">
        <v>3</v>
      </c>
      <c r="E674" s="212" t="s">
        <v>411</v>
      </c>
      <c r="F674" s="212" t="str">
        <f t="shared" si="57"/>
        <v>3 - Upstream/Downstream Transportation and Distribution</v>
      </c>
      <c r="G674" s="248" t="s">
        <v>307</v>
      </c>
      <c r="H674" s="212" t="s">
        <v>257</v>
      </c>
      <c r="I674" s="212"/>
      <c r="J674" s="212" t="s">
        <v>308</v>
      </c>
      <c r="K674" s="212" t="s">
        <v>248</v>
      </c>
      <c r="L674" s="212" t="s">
        <v>257</v>
      </c>
      <c r="M674" s="215" t="s">
        <v>623</v>
      </c>
      <c r="N674" s="289"/>
      <c r="O674" s="289"/>
      <c r="P674" s="289"/>
      <c r="Q674" s="289"/>
      <c r="R674" s="289"/>
      <c r="S674" s="232">
        <v>5.8880000000000002E-2</v>
      </c>
      <c r="T674" s="388">
        <v>5.9130000000000002E-2</v>
      </c>
      <c r="U674" s="212" t="s">
        <v>204</v>
      </c>
      <c r="V674" s="212" t="s">
        <v>597</v>
      </c>
      <c r="W674" s="218" t="s">
        <v>1267</v>
      </c>
      <c r="X674" s="73" t="s">
        <v>246</v>
      </c>
      <c r="Y674" s="389"/>
      <c r="Z674" s="67"/>
      <c r="AA674" s="67"/>
      <c r="AB674" s="67"/>
      <c r="AC674" s="67"/>
    </row>
    <row r="675" spans="2:29">
      <c r="B675" s="166"/>
      <c r="C675" s="173"/>
      <c r="D675" s="212">
        <v>3</v>
      </c>
      <c r="E675" s="212" t="s">
        <v>411</v>
      </c>
      <c r="F675" s="212" t="str">
        <f t="shared" si="57"/>
        <v>3 - Upstream/Downstream Transportation and Distribution</v>
      </c>
      <c r="G675" s="248" t="s">
        <v>307</v>
      </c>
      <c r="H675" s="212" t="s">
        <v>257</v>
      </c>
      <c r="I675" s="212"/>
      <c r="J675" s="212" t="s">
        <v>308</v>
      </c>
      <c r="K675" s="212" t="s">
        <v>248</v>
      </c>
      <c r="L675" s="212" t="s">
        <v>257</v>
      </c>
      <c r="M675" s="215" t="s">
        <v>623</v>
      </c>
      <c r="N675" s="289"/>
      <c r="O675" s="289"/>
      <c r="P675" s="289"/>
      <c r="Q675" s="289"/>
      <c r="R675" s="289"/>
      <c r="S675" s="232">
        <v>5.8880000000000002E-2</v>
      </c>
      <c r="T675" s="388">
        <v>5.9130000000000002E-2</v>
      </c>
      <c r="U675" s="212" t="s">
        <v>204</v>
      </c>
      <c r="V675" s="212" t="s">
        <v>597</v>
      </c>
      <c r="W675" s="218" t="s">
        <v>1267</v>
      </c>
      <c r="X675" s="73" t="s">
        <v>246</v>
      </c>
      <c r="Y675" s="389"/>
      <c r="Z675" s="67"/>
      <c r="AA675" s="67"/>
      <c r="AB675" s="67"/>
      <c r="AC675" s="67"/>
    </row>
    <row r="676" spans="2:29">
      <c r="B676" s="166"/>
      <c r="C676" s="173"/>
      <c r="D676" s="212">
        <v>3</v>
      </c>
      <c r="E676" s="212" t="s">
        <v>411</v>
      </c>
      <c r="F676" s="212" t="str">
        <f t="shared" si="57"/>
        <v>3 - Upstream/Downstream Transportation and Distribution</v>
      </c>
      <c r="G676" s="248" t="s">
        <v>307</v>
      </c>
      <c r="H676" s="212" t="s">
        <v>257</v>
      </c>
      <c r="I676" s="212"/>
      <c r="J676" s="212" t="s">
        <v>308</v>
      </c>
      <c r="K676" s="212" t="s">
        <v>248</v>
      </c>
      <c r="L676" s="212" t="s">
        <v>257</v>
      </c>
      <c r="M676" s="215" t="s">
        <v>623</v>
      </c>
      <c r="N676" s="289"/>
      <c r="O676" s="289"/>
      <c r="P676" s="289"/>
      <c r="Q676" s="289"/>
      <c r="R676" s="289"/>
      <c r="S676" s="232">
        <v>5.8880000000000002E-2</v>
      </c>
      <c r="T676" s="388">
        <v>5.9130000000000002E-2</v>
      </c>
      <c r="U676" s="212" t="s">
        <v>204</v>
      </c>
      <c r="V676" s="212" t="s">
        <v>597</v>
      </c>
      <c r="W676" s="218" t="s">
        <v>1267</v>
      </c>
      <c r="X676" s="73" t="s">
        <v>246</v>
      </c>
      <c r="Y676" s="389"/>
      <c r="Z676" s="67"/>
      <c r="AA676" s="67"/>
      <c r="AB676" s="67"/>
      <c r="AC676" s="67"/>
    </row>
    <row r="677" spans="2:29">
      <c r="B677" s="166"/>
      <c r="C677" s="173"/>
      <c r="D677" s="212">
        <v>3</v>
      </c>
      <c r="E677" s="212" t="s">
        <v>411</v>
      </c>
      <c r="F677" s="212" t="str">
        <f t="shared" si="57"/>
        <v>3 - Upstream/Downstream Transportation and Distribution</v>
      </c>
      <c r="G677" s="248" t="s">
        <v>307</v>
      </c>
      <c r="H677" s="212" t="s">
        <v>257</v>
      </c>
      <c r="I677" s="212"/>
      <c r="J677" s="212" t="s">
        <v>308</v>
      </c>
      <c r="K677" s="212" t="s">
        <v>258</v>
      </c>
      <c r="L677" s="212" t="s">
        <v>257</v>
      </c>
      <c r="M677" s="215" t="s">
        <v>624</v>
      </c>
      <c r="N677" s="289"/>
      <c r="O677" s="289"/>
      <c r="P677" s="289"/>
      <c r="Q677" s="289"/>
      <c r="R677" s="289"/>
      <c r="S677" s="232">
        <v>1.0300000000000001E-3</v>
      </c>
      <c r="T677" s="388">
        <v>1.0353782792668072E-3</v>
      </c>
      <c r="U677" s="212" t="str">
        <f>U319</f>
        <v>tonne.km</v>
      </c>
      <c r="V677" s="212" t="str">
        <f t="shared" ref="V677:V681" si="59">K677</f>
        <v>Crude tanker - Average</v>
      </c>
      <c r="W677" s="218" t="s">
        <v>1208</v>
      </c>
      <c r="X677" s="73" t="s">
        <v>249</v>
      </c>
      <c r="Y677" s="389"/>
      <c r="Z677" s="67"/>
      <c r="AA677" s="67"/>
      <c r="AB677" s="67"/>
      <c r="AC677" s="67"/>
    </row>
    <row r="678" spans="2:29">
      <c r="B678" s="166"/>
      <c r="C678" s="173"/>
      <c r="D678" s="212">
        <v>3</v>
      </c>
      <c r="E678" s="212" t="s">
        <v>411</v>
      </c>
      <c r="F678" s="212" t="str">
        <f t="shared" si="57"/>
        <v>3 - Upstream/Downstream Transportation and Distribution</v>
      </c>
      <c r="G678" s="248" t="s">
        <v>307</v>
      </c>
      <c r="H678" s="212" t="s">
        <v>257</v>
      </c>
      <c r="I678" s="212"/>
      <c r="J678" s="212" t="s">
        <v>308</v>
      </c>
      <c r="K678" s="212" t="s">
        <v>428</v>
      </c>
      <c r="L678" s="212" t="s">
        <v>257</v>
      </c>
      <c r="M678" s="215" t="s">
        <v>625</v>
      </c>
      <c r="N678" s="289"/>
      <c r="O678" s="289"/>
      <c r="P678" s="289"/>
      <c r="Q678" s="289"/>
      <c r="R678" s="289"/>
      <c r="S678" s="232">
        <v>2.0300000000000001E-3</v>
      </c>
      <c r="T678" s="388">
        <v>2.0455526082106641E-3</v>
      </c>
      <c r="U678" s="212" t="str">
        <f>U320</f>
        <v>tonne.km</v>
      </c>
      <c r="V678" s="212" t="str">
        <f t="shared" si="59"/>
        <v>Products tanker - Average</v>
      </c>
      <c r="W678" s="218" t="s">
        <v>1209</v>
      </c>
      <c r="X678" s="73" t="s">
        <v>249</v>
      </c>
      <c r="Y678" s="389"/>
      <c r="Z678" s="67"/>
      <c r="AA678" s="67"/>
      <c r="AB678" s="67"/>
      <c r="AC678" s="67"/>
    </row>
    <row r="679" spans="2:29">
      <c r="B679" s="166"/>
      <c r="C679" s="173"/>
      <c r="D679" s="212">
        <v>3</v>
      </c>
      <c r="E679" s="212" t="s">
        <v>411</v>
      </c>
      <c r="F679" s="212" t="str">
        <f t="shared" si="57"/>
        <v>3 - Upstream/Downstream Transportation and Distribution</v>
      </c>
      <c r="G679" s="248" t="s">
        <v>307</v>
      </c>
      <c r="H679" s="212" t="s">
        <v>257</v>
      </c>
      <c r="I679" s="212"/>
      <c r="J679" s="212" t="s">
        <v>308</v>
      </c>
      <c r="K679" s="212" t="s">
        <v>429</v>
      </c>
      <c r="L679" s="212" t="s">
        <v>257</v>
      </c>
      <c r="M679" s="215" t="s">
        <v>626</v>
      </c>
      <c r="N679" s="289"/>
      <c r="O679" s="289"/>
      <c r="P679" s="289"/>
      <c r="Q679" s="289"/>
      <c r="R679" s="289"/>
      <c r="S679" s="232">
        <v>2.32E-3</v>
      </c>
      <c r="T679" s="388">
        <v>2.3369102739439723E-3</v>
      </c>
      <c r="U679" s="212" t="str">
        <f>U321</f>
        <v>tonne.km</v>
      </c>
      <c r="V679" s="212" t="str">
        <f t="shared" si="59"/>
        <v>Chemical tanker - Average</v>
      </c>
      <c r="W679" s="218" t="s">
        <v>1210</v>
      </c>
      <c r="X679" s="73" t="s">
        <v>249</v>
      </c>
      <c r="Y679" s="389"/>
      <c r="Z679" s="67"/>
      <c r="AA679" s="67"/>
      <c r="AB679" s="67"/>
      <c r="AC679" s="67"/>
    </row>
    <row r="680" spans="2:29">
      <c r="B680" s="166"/>
      <c r="C680" s="173"/>
      <c r="D680" s="212">
        <v>3</v>
      </c>
      <c r="E680" s="212" t="s">
        <v>411</v>
      </c>
      <c r="F680" s="212" t="str">
        <f t="shared" si="57"/>
        <v>3 - Upstream/Downstream Transportation and Distribution</v>
      </c>
      <c r="G680" s="248" t="s">
        <v>307</v>
      </c>
      <c r="H680" s="212" t="s">
        <v>257</v>
      </c>
      <c r="I680" s="212"/>
      <c r="J680" s="212" t="s">
        <v>308</v>
      </c>
      <c r="K680" s="212" t="s">
        <v>430</v>
      </c>
      <c r="L680" s="212" t="s">
        <v>257</v>
      </c>
      <c r="M680" s="215" t="s">
        <v>627</v>
      </c>
      <c r="N680" s="289"/>
      <c r="O680" s="289"/>
      <c r="P680" s="289"/>
      <c r="Q680" s="289"/>
      <c r="R680" s="289"/>
      <c r="S680" s="232">
        <v>2.5899999999999999E-3</v>
      </c>
      <c r="T680" s="388">
        <v>2.6151618855093459E-3</v>
      </c>
      <c r="U680" s="212" t="str">
        <f>U322</f>
        <v>tonne.km</v>
      </c>
      <c r="V680" s="212" t="str">
        <f t="shared" si="59"/>
        <v>LNG tanker - Average</v>
      </c>
      <c r="W680" s="218" t="s">
        <v>1211</v>
      </c>
      <c r="X680" s="73" t="s">
        <v>249</v>
      </c>
      <c r="Y680" s="389"/>
      <c r="Z680" s="67"/>
      <c r="AA680" s="67"/>
      <c r="AB680" s="67"/>
      <c r="AC680" s="67"/>
    </row>
    <row r="681" spans="2:29">
      <c r="B681" s="166"/>
      <c r="C681" s="173"/>
      <c r="D681" s="212">
        <v>3</v>
      </c>
      <c r="E681" s="212" t="s">
        <v>411</v>
      </c>
      <c r="F681" s="212" t="str">
        <f t="shared" si="57"/>
        <v>3 - Upstream/Downstream Transportation and Distribution</v>
      </c>
      <c r="G681" s="248" t="s">
        <v>307</v>
      </c>
      <c r="H681" s="212" t="s">
        <v>257</v>
      </c>
      <c r="I681" s="212"/>
      <c r="J681" s="212" t="s">
        <v>308</v>
      </c>
      <c r="K681" s="212" t="s">
        <v>431</v>
      </c>
      <c r="L681" s="212" t="s">
        <v>257</v>
      </c>
      <c r="M681" s="215" t="s">
        <v>628</v>
      </c>
      <c r="N681" s="289"/>
      <c r="O681" s="289"/>
      <c r="P681" s="289"/>
      <c r="Q681" s="289"/>
      <c r="R681" s="289"/>
      <c r="S681" s="232">
        <v>2.33E-3</v>
      </c>
      <c r="T681" s="388">
        <v>2.3510244861248242E-3</v>
      </c>
      <c r="U681" s="212" t="str">
        <f>U323</f>
        <v>tonne.km</v>
      </c>
      <c r="V681" s="212" t="str">
        <f t="shared" si="59"/>
        <v>LPG tanker - Average</v>
      </c>
      <c r="W681" s="218" t="s">
        <v>1212</v>
      </c>
      <c r="X681" s="73" t="s">
        <v>249</v>
      </c>
      <c r="Y681" s="389"/>
      <c r="Z681" s="67"/>
      <c r="AA681" s="67"/>
      <c r="AB681" s="67"/>
      <c r="AC681" s="67"/>
    </row>
    <row r="682" spans="2:29">
      <c r="B682" s="166"/>
      <c r="C682" s="173"/>
      <c r="D682" s="212">
        <v>3</v>
      </c>
      <c r="E682" s="212" t="s">
        <v>411</v>
      </c>
      <c r="F682" s="212" t="str">
        <f t="shared" si="57"/>
        <v>3 - Upstream/Downstream Transportation and Distribution</v>
      </c>
      <c r="G682" s="248" t="s">
        <v>307</v>
      </c>
      <c r="H682" s="212" t="s">
        <v>432</v>
      </c>
      <c r="I682" s="212"/>
      <c r="J682" s="212" t="s">
        <v>308</v>
      </c>
      <c r="K682" s="212" t="s">
        <v>248</v>
      </c>
      <c r="L682" s="212" t="s">
        <v>433</v>
      </c>
      <c r="M682" s="215" t="s">
        <v>629</v>
      </c>
      <c r="N682" s="289"/>
      <c r="O682" s="289"/>
      <c r="P682" s="289"/>
      <c r="Q682" s="289"/>
      <c r="R682" s="289"/>
      <c r="S682" s="232">
        <v>5.8880000000000002E-2</v>
      </c>
      <c r="T682" s="388">
        <v>5.9130000000000002E-2</v>
      </c>
      <c r="U682" s="212" t="s">
        <v>204</v>
      </c>
      <c r="V682" s="212" t="s">
        <v>597</v>
      </c>
      <c r="W682" s="218" t="s">
        <v>1267</v>
      </c>
      <c r="X682" s="73" t="s">
        <v>246</v>
      </c>
      <c r="Y682" s="389"/>
      <c r="Z682" s="67"/>
      <c r="AA682" s="67"/>
      <c r="AB682" s="67"/>
      <c r="AC682" s="67"/>
    </row>
    <row r="683" spans="2:29">
      <c r="B683" s="166"/>
      <c r="C683" s="173"/>
      <c r="D683" s="212">
        <v>3</v>
      </c>
      <c r="E683" s="212" t="s">
        <v>411</v>
      </c>
      <c r="F683" s="212" t="str">
        <f t="shared" si="57"/>
        <v>3 - Upstream/Downstream Transportation and Distribution</v>
      </c>
      <c r="G683" s="248" t="s">
        <v>307</v>
      </c>
      <c r="H683" s="212" t="s">
        <v>432</v>
      </c>
      <c r="I683" s="212"/>
      <c r="J683" s="212" t="s">
        <v>308</v>
      </c>
      <c r="K683" s="212" t="s">
        <v>248</v>
      </c>
      <c r="L683" s="212" t="s">
        <v>433</v>
      </c>
      <c r="M683" s="215" t="s">
        <v>629</v>
      </c>
      <c r="N683" s="289"/>
      <c r="O683" s="289"/>
      <c r="P683" s="289"/>
      <c r="Q683" s="289"/>
      <c r="R683" s="289"/>
      <c r="S683" s="232">
        <v>5.8880000000000002E-2</v>
      </c>
      <c r="T683" s="388">
        <v>5.9130000000000002E-2</v>
      </c>
      <c r="U683" s="212" t="s">
        <v>204</v>
      </c>
      <c r="V683" s="212" t="s">
        <v>597</v>
      </c>
      <c r="W683" s="218" t="s">
        <v>1267</v>
      </c>
      <c r="X683" s="73" t="s">
        <v>246</v>
      </c>
      <c r="Y683" s="389"/>
      <c r="Z683" s="67"/>
      <c r="AA683" s="67"/>
      <c r="AB683" s="67"/>
      <c r="AC683" s="67"/>
    </row>
    <row r="684" spans="2:29">
      <c r="B684" s="166"/>
      <c r="C684" s="173"/>
      <c r="D684" s="212">
        <v>3</v>
      </c>
      <c r="E684" s="212" t="s">
        <v>411</v>
      </c>
      <c r="F684" s="212" t="str">
        <f t="shared" si="57"/>
        <v>3 - Upstream/Downstream Transportation and Distribution</v>
      </c>
      <c r="G684" s="248" t="s">
        <v>307</v>
      </c>
      <c r="H684" s="212" t="s">
        <v>432</v>
      </c>
      <c r="I684" s="212"/>
      <c r="J684" s="212" t="s">
        <v>308</v>
      </c>
      <c r="K684" s="212" t="s">
        <v>248</v>
      </c>
      <c r="L684" s="212" t="s">
        <v>433</v>
      </c>
      <c r="M684" s="215" t="s">
        <v>629</v>
      </c>
      <c r="N684" s="289"/>
      <c r="O684" s="289"/>
      <c r="P684" s="289"/>
      <c r="Q684" s="289"/>
      <c r="R684" s="289"/>
      <c r="S684" s="232">
        <v>5.8880000000000002E-2</v>
      </c>
      <c r="T684" s="388">
        <v>5.9130000000000002E-2</v>
      </c>
      <c r="U684" s="212" t="s">
        <v>204</v>
      </c>
      <c r="V684" s="212" t="s">
        <v>597</v>
      </c>
      <c r="W684" s="218" t="s">
        <v>1267</v>
      </c>
      <c r="X684" s="73" t="s">
        <v>246</v>
      </c>
      <c r="Y684" s="389"/>
      <c r="Z684" s="67"/>
      <c r="AA684" s="67"/>
      <c r="AB684" s="67"/>
      <c r="AC684" s="67"/>
    </row>
    <row r="685" spans="2:29">
      <c r="B685" s="166"/>
      <c r="C685" s="173"/>
      <c r="D685" s="212">
        <v>3</v>
      </c>
      <c r="E685" s="212" t="s">
        <v>411</v>
      </c>
      <c r="F685" s="212" t="str">
        <f t="shared" si="57"/>
        <v>3 - Upstream/Downstream Transportation and Distribution</v>
      </c>
      <c r="G685" s="248" t="s">
        <v>307</v>
      </c>
      <c r="H685" s="212" t="s">
        <v>432</v>
      </c>
      <c r="I685" s="212"/>
      <c r="J685" s="212" t="s">
        <v>308</v>
      </c>
      <c r="K685" s="212" t="s">
        <v>248</v>
      </c>
      <c r="L685" s="212" t="s">
        <v>433</v>
      </c>
      <c r="M685" s="215" t="s">
        <v>629</v>
      </c>
      <c r="N685" s="289"/>
      <c r="O685" s="289"/>
      <c r="P685" s="289"/>
      <c r="Q685" s="289"/>
      <c r="R685" s="289"/>
      <c r="S685" s="232">
        <v>5.8880000000000002E-2</v>
      </c>
      <c r="T685" s="388">
        <v>5.9130000000000002E-2</v>
      </c>
      <c r="U685" s="212" t="s">
        <v>204</v>
      </c>
      <c r="V685" s="212" t="s">
        <v>597</v>
      </c>
      <c r="W685" s="218" t="s">
        <v>1267</v>
      </c>
      <c r="X685" s="73" t="s">
        <v>246</v>
      </c>
      <c r="Y685" s="389"/>
      <c r="Z685" s="67"/>
      <c r="AA685" s="67"/>
      <c r="AB685" s="67"/>
      <c r="AC685" s="67"/>
    </row>
    <row r="686" spans="2:29">
      <c r="B686" s="166"/>
      <c r="C686" s="173"/>
      <c r="D686" s="212">
        <v>3</v>
      </c>
      <c r="E686" s="212" t="s">
        <v>411</v>
      </c>
      <c r="F686" s="212" t="str">
        <f t="shared" si="57"/>
        <v>3 - Upstream/Downstream Transportation and Distribution</v>
      </c>
      <c r="G686" s="248" t="s">
        <v>307</v>
      </c>
      <c r="H686" s="212" t="s">
        <v>432</v>
      </c>
      <c r="I686" s="212"/>
      <c r="J686" s="212" t="s">
        <v>308</v>
      </c>
      <c r="K686" s="212" t="s">
        <v>248</v>
      </c>
      <c r="L686" s="212" t="s">
        <v>433</v>
      </c>
      <c r="M686" s="215" t="s">
        <v>629</v>
      </c>
      <c r="N686" s="289"/>
      <c r="O686" s="289"/>
      <c r="P686" s="289"/>
      <c r="Q686" s="289"/>
      <c r="R686" s="289"/>
      <c r="S686" s="232">
        <v>5.8880000000000002E-2</v>
      </c>
      <c r="T686" s="388">
        <v>5.9130000000000002E-2</v>
      </c>
      <c r="U686" s="212" t="s">
        <v>204</v>
      </c>
      <c r="V686" s="212" t="s">
        <v>597</v>
      </c>
      <c r="W686" s="218" t="s">
        <v>1267</v>
      </c>
      <c r="X686" s="73" t="s">
        <v>246</v>
      </c>
      <c r="Y686" s="389"/>
      <c r="Z686" s="67"/>
      <c r="AA686" s="67"/>
      <c r="AB686" s="67"/>
      <c r="AC686" s="67"/>
    </row>
    <row r="687" spans="2:29">
      <c r="B687" s="166"/>
      <c r="C687" s="173"/>
      <c r="D687" s="212">
        <v>3</v>
      </c>
      <c r="E687" s="212" t="s">
        <v>411</v>
      </c>
      <c r="F687" s="212" t="str">
        <f t="shared" si="57"/>
        <v>3 - Upstream/Downstream Transportation and Distribution</v>
      </c>
      <c r="G687" s="248" t="s">
        <v>307</v>
      </c>
      <c r="H687" s="212" t="s">
        <v>432</v>
      </c>
      <c r="I687" s="212"/>
      <c r="J687" s="212" t="s">
        <v>308</v>
      </c>
      <c r="K687" s="212" t="s">
        <v>434</v>
      </c>
      <c r="L687" s="212" t="s">
        <v>433</v>
      </c>
      <c r="M687" s="215" t="s">
        <v>630</v>
      </c>
      <c r="N687" s="289"/>
      <c r="O687" s="289"/>
      <c r="P687" s="289"/>
      <c r="Q687" s="289"/>
      <c r="R687" s="289"/>
      <c r="S687" s="232">
        <v>8.0000000000000004E-4</v>
      </c>
      <c r="T687" s="388">
        <v>8.014856202698265E-4</v>
      </c>
      <c r="U687" s="212" t="str">
        <f t="shared" ref="U687:U718" si="60">U328</f>
        <v>tonne.km</v>
      </c>
      <c r="V687" s="212" t="str">
        <f t="shared" ref="V687:V726" si="61">K687</f>
        <v>Bulk carrier - Average</v>
      </c>
      <c r="W687" s="218" t="s">
        <v>1213</v>
      </c>
      <c r="X687" s="73" t="s">
        <v>249</v>
      </c>
      <c r="Y687" s="389"/>
      <c r="Z687" s="67"/>
      <c r="AA687" s="67"/>
      <c r="AB687" s="67"/>
      <c r="AC687" s="67"/>
    </row>
    <row r="688" spans="2:29">
      <c r="B688" s="166"/>
      <c r="C688" s="173"/>
      <c r="D688" s="212">
        <v>3</v>
      </c>
      <c r="E688" s="212" t="s">
        <v>411</v>
      </c>
      <c r="F688" s="212" t="str">
        <f t="shared" si="57"/>
        <v>3 - Upstream/Downstream Transportation and Distribution</v>
      </c>
      <c r="G688" s="248" t="s">
        <v>307</v>
      </c>
      <c r="H688" s="212" t="s">
        <v>432</v>
      </c>
      <c r="I688" s="212"/>
      <c r="J688" s="212" t="s">
        <v>308</v>
      </c>
      <c r="K688" s="212" t="s">
        <v>435</v>
      </c>
      <c r="L688" s="212" t="s">
        <v>433</v>
      </c>
      <c r="M688" s="215" t="s">
        <v>631</v>
      </c>
      <c r="N688" s="289"/>
      <c r="O688" s="289"/>
      <c r="P688" s="289"/>
      <c r="Q688" s="289"/>
      <c r="R688" s="289"/>
      <c r="S688" s="232">
        <v>2.97E-3</v>
      </c>
      <c r="T688" s="388">
        <v>2.9962456143923575E-3</v>
      </c>
      <c r="U688" s="212" t="str">
        <f t="shared" si="60"/>
        <v>tonne.km</v>
      </c>
      <c r="V688" s="212" t="str">
        <f t="shared" si="61"/>
        <v>General cargo - Average</v>
      </c>
      <c r="W688" s="218" t="s">
        <v>1214</v>
      </c>
      <c r="X688" s="73" t="s">
        <v>249</v>
      </c>
      <c r="Y688" s="389"/>
      <c r="Z688" s="67"/>
      <c r="AA688" s="67"/>
      <c r="AB688" s="67"/>
      <c r="AC688" s="67"/>
    </row>
    <row r="689" spans="2:29">
      <c r="B689" s="166"/>
      <c r="C689" s="173"/>
      <c r="D689" s="212">
        <v>3</v>
      </c>
      <c r="E689" s="212" t="s">
        <v>411</v>
      </c>
      <c r="F689" s="212" t="str">
        <f t="shared" si="57"/>
        <v>3 - Upstream/Downstream Transportation and Distribution</v>
      </c>
      <c r="G689" s="248" t="s">
        <v>307</v>
      </c>
      <c r="H689" s="212" t="s">
        <v>432</v>
      </c>
      <c r="I689" s="212"/>
      <c r="J689" s="212" t="s">
        <v>308</v>
      </c>
      <c r="K689" s="212" t="s">
        <v>436</v>
      </c>
      <c r="L689" s="212" t="s">
        <v>433</v>
      </c>
      <c r="M689" s="215" t="s">
        <v>632</v>
      </c>
      <c r="N689" s="289"/>
      <c r="O689" s="289"/>
      <c r="P689" s="289"/>
      <c r="Q689" s="289"/>
      <c r="R689" s="289"/>
      <c r="S689" s="232">
        <v>3.63E-3</v>
      </c>
      <c r="T689" s="388">
        <v>3.6545727968278255E-3</v>
      </c>
      <c r="U689" s="212" t="str">
        <f t="shared" si="60"/>
        <v>tonne.km</v>
      </c>
      <c r="V689" s="212" t="str">
        <f t="shared" si="61"/>
        <v>Container ship - Average</v>
      </c>
      <c r="W689" s="218" t="s">
        <v>1215</v>
      </c>
      <c r="X689" s="73" t="s">
        <v>249</v>
      </c>
      <c r="Y689" s="389"/>
      <c r="Z689" s="67"/>
      <c r="AA689" s="67"/>
      <c r="AB689" s="67"/>
      <c r="AC689" s="67"/>
    </row>
    <row r="690" spans="2:29">
      <c r="B690" s="166"/>
      <c r="C690" s="173"/>
      <c r="D690" s="212">
        <v>3</v>
      </c>
      <c r="E690" s="212" t="s">
        <v>411</v>
      </c>
      <c r="F690" s="212" t="str">
        <f t="shared" ref="F690:F753" si="62">D690&amp;" - "&amp;E690</f>
        <v>3 - Upstream/Downstream Transportation and Distribution</v>
      </c>
      <c r="G690" s="248" t="s">
        <v>307</v>
      </c>
      <c r="H690" s="212" t="s">
        <v>432</v>
      </c>
      <c r="I690" s="212"/>
      <c r="J690" s="212" t="s">
        <v>308</v>
      </c>
      <c r="K690" s="212" t="s">
        <v>437</v>
      </c>
      <c r="L690" s="212" t="s">
        <v>433</v>
      </c>
      <c r="M690" s="215" t="s">
        <v>633</v>
      </c>
      <c r="N690" s="289"/>
      <c r="O690" s="289"/>
      <c r="P690" s="289"/>
      <c r="Q690" s="289"/>
      <c r="R690" s="289"/>
      <c r="S690" s="232">
        <v>8.6599999999999993E-3</v>
      </c>
      <c r="T690" s="388">
        <v>8.734681023921732E-3</v>
      </c>
      <c r="U690" s="212" t="str">
        <f t="shared" si="60"/>
        <v>tonne.km</v>
      </c>
      <c r="V690" s="212" t="str">
        <f t="shared" si="61"/>
        <v>Vehicle transport - Average</v>
      </c>
      <c r="W690" s="218" t="s">
        <v>1216</v>
      </c>
      <c r="X690" s="73" t="s">
        <v>249</v>
      </c>
      <c r="Y690" s="389"/>
      <c r="Z690" s="67"/>
      <c r="AA690" s="67"/>
      <c r="AB690" s="67"/>
      <c r="AC690" s="67"/>
    </row>
    <row r="691" spans="2:29">
      <c r="B691" s="166"/>
      <c r="C691" s="173"/>
      <c r="D691" s="212">
        <v>3</v>
      </c>
      <c r="E691" s="212" t="s">
        <v>411</v>
      </c>
      <c r="F691" s="212" t="str">
        <f t="shared" si="62"/>
        <v>3 - Upstream/Downstream Transportation and Distribution</v>
      </c>
      <c r="G691" s="248" t="s">
        <v>307</v>
      </c>
      <c r="H691" s="212" t="s">
        <v>432</v>
      </c>
      <c r="I691" s="212"/>
      <c r="J691" s="212" t="s">
        <v>308</v>
      </c>
      <c r="K691" s="212" t="s">
        <v>438</v>
      </c>
      <c r="L691" s="212" t="s">
        <v>433</v>
      </c>
      <c r="M691" s="215" t="s">
        <v>634</v>
      </c>
      <c r="N691" s="289"/>
      <c r="O691" s="289"/>
      <c r="P691" s="289"/>
      <c r="Q691" s="289"/>
      <c r="R691" s="289"/>
      <c r="S691" s="232">
        <v>1.1599999999999999E-2</v>
      </c>
      <c r="T691" s="388">
        <v>1.1696649265874876E-2</v>
      </c>
      <c r="U691" s="212" t="str">
        <f t="shared" si="60"/>
        <v>tonne.km</v>
      </c>
      <c r="V691" s="212" t="str">
        <f t="shared" si="61"/>
        <v>RoRo-Ferry - Average</v>
      </c>
      <c r="W691" s="218" t="s">
        <v>1217</v>
      </c>
      <c r="X691" s="73" t="s">
        <v>249</v>
      </c>
      <c r="Y691" s="389"/>
      <c r="Z691" s="67"/>
      <c r="AA691" s="67"/>
      <c r="AB691" s="67"/>
      <c r="AC691" s="67"/>
    </row>
    <row r="692" spans="2:29">
      <c r="B692" s="166"/>
      <c r="C692" s="173"/>
      <c r="D692" s="212">
        <v>3</v>
      </c>
      <c r="E692" s="212" t="s">
        <v>411</v>
      </c>
      <c r="F692" s="212" t="str">
        <f t="shared" si="62"/>
        <v>3 - Upstream/Downstream Transportation and Distribution</v>
      </c>
      <c r="G692" s="248" t="s">
        <v>307</v>
      </c>
      <c r="H692" s="212" t="s">
        <v>432</v>
      </c>
      <c r="I692" s="212"/>
      <c r="J692" s="212" t="s">
        <v>308</v>
      </c>
      <c r="K692" s="212" t="s">
        <v>439</v>
      </c>
      <c r="L692" s="212" t="s">
        <v>433</v>
      </c>
      <c r="M692" s="215" t="s">
        <v>635</v>
      </c>
      <c r="N692" s="289"/>
      <c r="O692" s="289"/>
      <c r="P692" s="289"/>
      <c r="Q692" s="289"/>
      <c r="R692" s="289"/>
      <c r="S692" s="232">
        <v>8.4589999999999999E-2</v>
      </c>
      <c r="T692" s="388">
        <v>8.5284118944787046E-2</v>
      </c>
      <c r="U692" s="212" t="str">
        <f t="shared" si="60"/>
        <v>tonne.km</v>
      </c>
      <c r="V692" s="212" t="str">
        <f t="shared" si="61"/>
        <v>Large RoPax ferry - Average</v>
      </c>
      <c r="W692" s="218" t="s">
        <v>1218</v>
      </c>
      <c r="X692" s="73" t="s">
        <v>249</v>
      </c>
      <c r="Y692" s="389"/>
      <c r="Z692" s="67"/>
      <c r="AA692" s="67"/>
      <c r="AB692" s="67"/>
      <c r="AC692" s="67"/>
    </row>
    <row r="693" spans="2:29">
      <c r="B693" s="166"/>
      <c r="C693" s="173"/>
      <c r="D693" s="212">
        <v>3</v>
      </c>
      <c r="E693" s="212" t="s">
        <v>411</v>
      </c>
      <c r="F693" s="212" t="str">
        <f t="shared" si="62"/>
        <v>3 - Upstream/Downstream Transportation and Distribution</v>
      </c>
      <c r="G693" s="248" t="s">
        <v>307</v>
      </c>
      <c r="H693" s="212" t="s">
        <v>432</v>
      </c>
      <c r="I693" s="212"/>
      <c r="J693" s="212" t="s">
        <v>308</v>
      </c>
      <c r="K693" s="212" t="s">
        <v>440</v>
      </c>
      <c r="L693" s="212" t="s">
        <v>433</v>
      </c>
      <c r="M693" s="215" t="s">
        <v>636</v>
      </c>
      <c r="N693" s="289"/>
      <c r="O693" s="289"/>
      <c r="P693" s="289"/>
      <c r="Q693" s="289"/>
      <c r="R693" s="289"/>
      <c r="S693" s="232">
        <v>2.9399999999999999E-3</v>
      </c>
      <c r="T693" s="388">
        <v>2.9609600839402271E-3</v>
      </c>
      <c r="U693" s="212" t="str">
        <f t="shared" si="60"/>
        <v>tonne.km</v>
      </c>
      <c r="V693" s="212" t="str">
        <f t="shared" si="61"/>
        <v>Refrigerated cargo - All dwt</v>
      </c>
      <c r="W693" s="218" t="s">
        <v>1219</v>
      </c>
      <c r="X693" s="73" t="s">
        <v>249</v>
      </c>
      <c r="Y693" s="389"/>
      <c r="Z693" s="67"/>
      <c r="AA693" s="67"/>
      <c r="AB693" s="67"/>
      <c r="AC693" s="67"/>
    </row>
    <row r="694" spans="2:29">
      <c r="B694" s="166"/>
      <c r="C694" s="173"/>
      <c r="D694" s="212">
        <v>3</v>
      </c>
      <c r="E694" s="212" t="s">
        <v>411</v>
      </c>
      <c r="F694" s="212" t="str">
        <f t="shared" si="62"/>
        <v>3 - Upstream/Downstream Transportation and Distribution</v>
      </c>
      <c r="G694" s="248" t="s">
        <v>307</v>
      </c>
      <c r="H694" s="212" t="s">
        <v>441</v>
      </c>
      <c r="I694" s="212"/>
      <c r="J694" s="212" t="s">
        <v>308</v>
      </c>
      <c r="K694" s="212" t="s">
        <v>442</v>
      </c>
      <c r="L694" s="212" t="s">
        <v>441</v>
      </c>
      <c r="M694" s="215" t="s">
        <v>637</v>
      </c>
      <c r="N694" s="289"/>
      <c r="O694" s="289"/>
      <c r="P694" s="289"/>
      <c r="Q694" s="289"/>
      <c r="R694" s="289"/>
      <c r="S694" s="232">
        <v>0.14732999999999999</v>
      </c>
      <c r="T694" s="388">
        <v>0.13961999999999999</v>
      </c>
      <c r="U694" s="212" t="str">
        <f t="shared" si="60"/>
        <v>tonne.km</v>
      </c>
      <c r="V694" s="212" t="str">
        <f t="shared" si="61"/>
        <v>Average (up to 3.5. tonnes) - Diesel</v>
      </c>
      <c r="W694" s="218" t="s">
        <v>1220</v>
      </c>
      <c r="X694" s="73" t="s">
        <v>249</v>
      </c>
      <c r="Y694" s="389"/>
      <c r="Z694" s="67"/>
      <c r="AA694" s="67"/>
      <c r="AB694" s="67"/>
      <c r="AC694" s="67"/>
    </row>
    <row r="695" spans="2:29">
      <c r="B695" s="166"/>
      <c r="C695" s="173"/>
      <c r="D695" s="212">
        <v>3</v>
      </c>
      <c r="E695" s="212" t="s">
        <v>411</v>
      </c>
      <c r="F695" s="212" t="str">
        <f t="shared" si="62"/>
        <v>3 - Upstream/Downstream Transportation and Distribution</v>
      </c>
      <c r="G695" s="248" t="s">
        <v>307</v>
      </c>
      <c r="H695" s="212" t="s">
        <v>441</v>
      </c>
      <c r="I695" s="212"/>
      <c r="J695" s="212" t="s">
        <v>308</v>
      </c>
      <c r="K695" s="212" t="s">
        <v>442</v>
      </c>
      <c r="L695" s="212" t="s">
        <v>441</v>
      </c>
      <c r="M695" s="215" t="s">
        <v>637</v>
      </c>
      <c r="N695" s="289"/>
      <c r="O695" s="289"/>
      <c r="P695" s="289"/>
      <c r="Q695" s="289"/>
      <c r="R695" s="289"/>
      <c r="S695" s="232">
        <v>5.8959999999999999E-2</v>
      </c>
      <c r="T695" s="388">
        <v>5.6599999999999998E-2</v>
      </c>
      <c r="U695" s="212" t="str">
        <f t="shared" si="60"/>
        <v>km</v>
      </c>
      <c r="V695" s="212" t="str">
        <f t="shared" si="61"/>
        <v>Average (up to 3.5. tonnes) - Diesel</v>
      </c>
      <c r="W695" s="218" t="s">
        <v>1220</v>
      </c>
      <c r="X695" s="73" t="s">
        <v>249</v>
      </c>
      <c r="Y695" s="389"/>
      <c r="Z695" s="67"/>
      <c r="AA695" s="67"/>
      <c r="AB695" s="67"/>
      <c r="AC695" s="67"/>
    </row>
    <row r="696" spans="2:29">
      <c r="B696" s="166"/>
      <c r="C696" s="173"/>
      <c r="D696" s="212">
        <v>3</v>
      </c>
      <c r="E696" s="212" t="s">
        <v>411</v>
      </c>
      <c r="F696" s="212" t="str">
        <f t="shared" si="62"/>
        <v>3 - Upstream/Downstream Transportation and Distribution</v>
      </c>
      <c r="G696" s="248" t="s">
        <v>307</v>
      </c>
      <c r="H696" s="212" t="s">
        <v>441</v>
      </c>
      <c r="I696" s="212"/>
      <c r="J696" s="212" t="s">
        <v>308</v>
      </c>
      <c r="K696" s="212" t="s">
        <v>442</v>
      </c>
      <c r="L696" s="212" t="s">
        <v>441</v>
      </c>
      <c r="M696" s="215" t="s">
        <v>637</v>
      </c>
      <c r="N696" s="289"/>
      <c r="O696" s="289"/>
      <c r="P696" s="289"/>
      <c r="Q696" s="289"/>
      <c r="R696" s="289"/>
      <c r="S696" s="232">
        <v>9.4890000000000002E-2</v>
      </c>
      <c r="T696" s="388">
        <v>9.1079999999999994E-2</v>
      </c>
      <c r="U696" s="212" t="str">
        <f t="shared" si="60"/>
        <v>miles</v>
      </c>
      <c r="V696" s="212" t="str">
        <f t="shared" si="61"/>
        <v>Average (up to 3.5. tonnes) - Diesel</v>
      </c>
      <c r="W696" s="218" t="s">
        <v>1220</v>
      </c>
      <c r="X696" s="73" t="s">
        <v>249</v>
      </c>
      <c r="Y696" s="389"/>
      <c r="Z696" s="67"/>
      <c r="AA696" s="67"/>
      <c r="AB696" s="67"/>
      <c r="AC696" s="67"/>
    </row>
    <row r="697" spans="2:29">
      <c r="B697" s="166"/>
      <c r="C697" s="173"/>
      <c r="D697" s="212">
        <v>3</v>
      </c>
      <c r="E697" s="212" t="s">
        <v>411</v>
      </c>
      <c r="F697" s="212" t="str">
        <f t="shared" si="62"/>
        <v>3 - Upstream/Downstream Transportation and Distribution</v>
      </c>
      <c r="G697" s="248" t="s">
        <v>307</v>
      </c>
      <c r="H697" s="212" t="s">
        <v>441</v>
      </c>
      <c r="I697" s="212"/>
      <c r="J697" s="212" t="s">
        <v>308</v>
      </c>
      <c r="K697" s="212" t="s">
        <v>443</v>
      </c>
      <c r="L697" s="212" t="s">
        <v>441</v>
      </c>
      <c r="M697" s="215" t="s">
        <v>638</v>
      </c>
      <c r="N697" s="289"/>
      <c r="O697" s="289"/>
      <c r="P697" s="289"/>
      <c r="Q697" s="289"/>
      <c r="R697" s="289"/>
      <c r="S697" s="232">
        <v>0.20164000000000001</v>
      </c>
      <c r="T697" s="388">
        <v>0.19997999999999999</v>
      </c>
      <c r="U697" s="212" t="str">
        <f t="shared" si="60"/>
        <v>tonne.km</v>
      </c>
      <c r="V697" s="212" t="str">
        <f t="shared" si="61"/>
        <v>Average (up to 3.5. tonnes) - Petrol</v>
      </c>
      <c r="W697" s="218" t="s">
        <v>1221</v>
      </c>
      <c r="X697" s="73" t="s">
        <v>249</v>
      </c>
      <c r="Y697" s="389"/>
      <c r="Z697" s="67"/>
      <c r="AA697" s="67"/>
      <c r="AB697" s="67"/>
      <c r="AC697" s="67"/>
    </row>
    <row r="698" spans="2:29">
      <c r="B698" s="166"/>
      <c r="C698" s="173"/>
      <c r="D698" s="212">
        <v>3</v>
      </c>
      <c r="E698" s="212" t="s">
        <v>411</v>
      </c>
      <c r="F698" s="212" t="str">
        <f t="shared" si="62"/>
        <v>3 - Upstream/Downstream Transportation and Distribution</v>
      </c>
      <c r="G698" s="248" t="s">
        <v>307</v>
      </c>
      <c r="H698" s="212" t="s">
        <v>441</v>
      </c>
      <c r="I698" s="212"/>
      <c r="J698" s="212" t="s">
        <v>308</v>
      </c>
      <c r="K698" s="212" t="s">
        <v>443</v>
      </c>
      <c r="L698" s="212" t="s">
        <v>441</v>
      </c>
      <c r="M698" s="215" t="s">
        <v>638</v>
      </c>
      <c r="N698" s="289"/>
      <c r="O698" s="289"/>
      <c r="P698" s="289"/>
      <c r="Q698" s="289"/>
      <c r="R698" s="289"/>
      <c r="S698" s="232">
        <v>5.901E-2</v>
      </c>
      <c r="T698" s="388">
        <v>5.5939999999999997E-2</v>
      </c>
      <c r="U698" s="212" t="str">
        <f t="shared" si="60"/>
        <v>km</v>
      </c>
      <c r="V698" s="212" t="str">
        <f t="shared" si="61"/>
        <v>Average (up to 3.5. tonnes) - Petrol</v>
      </c>
      <c r="W698" s="218" t="s">
        <v>1221</v>
      </c>
      <c r="X698" s="73" t="s">
        <v>249</v>
      </c>
      <c r="Y698" s="389"/>
      <c r="Z698" s="67"/>
      <c r="AA698" s="67"/>
      <c r="AB698" s="67"/>
      <c r="AC698" s="67"/>
    </row>
    <row r="699" spans="2:29">
      <c r="B699" s="166"/>
      <c r="C699" s="173"/>
      <c r="D699" s="212">
        <v>3</v>
      </c>
      <c r="E699" s="212" t="s">
        <v>411</v>
      </c>
      <c r="F699" s="212" t="str">
        <f t="shared" si="62"/>
        <v>3 - Upstream/Downstream Transportation and Distribution</v>
      </c>
      <c r="G699" s="248" t="s">
        <v>307</v>
      </c>
      <c r="H699" s="212" t="s">
        <v>441</v>
      </c>
      <c r="I699" s="212"/>
      <c r="J699" s="212" t="s">
        <v>308</v>
      </c>
      <c r="K699" s="212" t="s">
        <v>443</v>
      </c>
      <c r="L699" s="212" t="s">
        <v>441</v>
      </c>
      <c r="M699" s="215" t="s">
        <v>638</v>
      </c>
      <c r="N699" s="289"/>
      <c r="O699" s="289"/>
      <c r="P699" s="289"/>
      <c r="Q699" s="289"/>
      <c r="R699" s="289"/>
      <c r="S699" s="232">
        <v>9.4969999999999999E-2</v>
      </c>
      <c r="T699" s="388">
        <v>9.0029999999999999E-2</v>
      </c>
      <c r="U699" s="212" t="str">
        <f t="shared" si="60"/>
        <v>miles</v>
      </c>
      <c r="V699" s="212" t="str">
        <f t="shared" si="61"/>
        <v>Average (up to 3.5. tonnes) - Petrol</v>
      </c>
      <c r="W699" s="218" t="s">
        <v>1221</v>
      </c>
      <c r="X699" s="73" t="s">
        <v>249</v>
      </c>
      <c r="Y699" s="389"/>
      <c r="Z699" s="67"/>
      <c r="AA699" s="67"/>
      <c r="AB699" s="67"/>
      <c r="AC699" s="67"/>
    </row>
    <row r="700" spans="2:29">
      <c r="B700" s="166"/>
      <c r="C700" s="173"/>
      <c r="D700" s="212">
        <v>3</v>
      </c>
      <c r="E700" s="212" t="s">
        <v>411</v>
      </c>
      <c r="F700" s="212" t="str">
        <f t="shared" si="62"/>
        <v>3 - Upstream/Downstream Transportation and Distribution</v>
      </c>
      <c r="G700" s="248" t="s">
        <v>307</v>
      </c>
      <c r="H700" s="212" t="s">
        <v>441</v>
      </c>
      <c r="I700" s="212"/>
      <c r="J700" s="212" t="s">
        <v>308</v>
      </c>
      <c r="K700" s="212" t="s">
        <v>444</v>
      </c>
      <c r="L700" s="212" t="s">
        <v>441</v>
      </c>
      <c r="M700" s="215" t="s">
        <v>639</v>
      </c>
      <c r="N700" s="289"/>
      <c r="O700" s="289"/>
      <c r="P700" s="289"/>
      <c r="Q700" s="289"/>
      <c r="R700" s="289"/>
      <c r="S700" s="232">
        <v>0.12451</v>
      </c>
      <c r="T700" s="388">
        <v>0.11842</v>
      </c>
      <c r="U700" s="212" t="str">
        <f t="shared" si="60"/>
        <v>tonne.km</v>
      </c>
      <c r="V700" s="212" t="str">
        <f t="shared" si="61"/>
        <v>Average (up to 3.5. tonnes) - CNG</v>
      </c>
      <c r="W700" s="218" t="s">
        <v>1222</v>
      </c>
      <c r="X700" s="73" t="s">
        <v>249</v>
      </c>
      <c r="Y700" s="389"/>
      <c r="Z700" s="67"/>
      <c r="AA700" s="67"/>
      <c r="AB700" s="67"/>
      <c r="AC700" s="67"/>
    </row>
    <row r="701" spans="2:29">
      <c r="B701" s="166"/>
      <c r="C701" s="173"/>
      <c r="D701" s="212">
        <v>3</v>
      </c>
      <c r="E701" s="212" t="s">
        <v>411</v>
      </c>
      <c r="F701" s="212" t="str">
        <f t="shared" si="62"/>
        <v>3 - Upstream/Downstream Transportation and Distribution</v>
      </c>
      <c r="G701" s="248" t="s">
        <v>307</v>
      </c>
      <c r="H701" s="212" t="s">
        <v>441</v>
      </c>
      <c r="I701" s="212"/>
      <c r="J701" s="212" t="s">
        <v>308</v>
      </c>
      <c r="K701" s="212" t="s">
        <v>444</v>
      </c>
      <c r="L701" s="212" t="s">
        <v>441</v>
      </c>
      <c r="M701" s="215" t="s">
        <v>639</v>
      </c>
      <c r="N701" s="289"/>
      <c r="O701" s="289"/>
      <c r="P701" s="289"/>
      <c r="Q701" s="289"/>
      <c r="R701" s="289"/>
      <c r="S701" s="232">
        <v>4.9639999999999997E-2</v>
      </c>
      <c r="T701" s="388">
        <v>4.7789999999999999E-2</v>
      </c>
      <c r="U701" s="212" t="str">
        <f t="shared" si="60"/>
        <v>km</v>
      </c>
      <c r="V701" s="212" t="str">
        <f t="shared" si="61"/>
        <v>Average (up to 3.5. tonnes) - CNG</v>
      </c>
      <c r="W701" s="218" t="s">
        <v>1222</v>
      </c>
      <c r="X701" s="73" t="s">
        <v>249</v>
      </c>
      <c r="Y701" s="389"/>
      <c r="Z701" s="67"/>
      <c r="AA701" s="67"/>
      <c r="AB701" s="67"/>
      <c r="AC701" s="67"/>
    </row>
    <row r="702" spans="2:29">
      <c r="B702" s="166"/>
      <c r="C702" s="173"/>
      <c r="D702" s="212">
        <v>3</v>
      </c>
      <c r="E702" s="212" t="s">
        <v>411</v>
      </c>
      <c r="F702" s="212" t="str">
        <f t="shared" si="62"/>
        <v>3 - Upstream/Downstream Transportation and Distribution</v>
      </c>
      <c r="G702" s="248" t="s">
        <v>307</v>
      </c>
      <c r="H702" s="212" t="s">
        <v>441</v>
      </c>
      <c r="I702" s="212"/>
      <c r="J702" s="212" t="s">
        <v>308</v>
      </c>
      <c r="K702" s="212" t="s">
        <v>444</v>
      </c>
      <c r="L702" s="212" t="s">
        <v>441</v>
      </c>
      <c r="M702" s="215" t="s">
        <v>639</v>
      </c>
      <c r="N702" s="289"/>
      <c r="O702" s="289"/>
      <c r="P702" s="289"/>
      <c r="Q702" s="289"/>
      <c r="R702" s="289"/>
      <c r="S702" s="232">
        <v>7.9890000000000003E-2</v>
      </c>
      <c r="T702" s="388">
        <v>7.6910000000000006E-2</v>
      </c>
      <c r="U702" s="212" t="str">
        <f t="shared" si="60"/>
        <v>miles</v>
      </c>
      <c r="V702" s="212" t="str">
        <f t="shared" si="61"/>
        <v>Average (up to 3.5. tonnes) - CNG</v>
      </c>
      <c r="W702" s="218" t="s">
        <v>1222</v>
      </c>
      <c r="X702" s="73" t="s">
        <v>249</v>
      </c>
      <c r="Y702" s="389"/>
      <c r="Z702" s="67"/>
      <c r="AA702" s="67"/>
      <c r="AB702" s="67"/>
      <c r="AC702" s="67"/>
    </row>
    <row r="703" spans="2:29">
      <c r="B703" s="166"/>
      <c r="C703" s="173"/>
      <c r="D703" s="212">
        <v>3</v>
      </c>
      <c r="E703" s="212" t="s">
        <v>411</v>
      </c>
      <c r="F703" s="212" t="str">
        <f t="shared" si="62"/>
        <v>3 - Upstream/Downstream Transportation and Distribution</v>
      </c>
      <c r="G703" s="248" t="s">
        <v>307</v>
      </c>
      <c r="H703" s="212" t="s">
        <v>441</v>
      </c>
      <c r="I703" s="212"/>
      <c r="J703" s="212" t="s">
        <v>308</v>
      </c>
      <c r="K703" s="212" t="s">
        <v>445</v>
      </c>
      <c r="L703" s="212" t="s">
        <v>441</v>
      </c>
      <c r="M703" s="215" t="s">
        <v>640</v>
      </c>
      <c r="N703" s="289"/>
      <c r="O703" s="289"/>
      <c r="P703" s="289"/>
      <c r="Q703" s="289"/>
      <c r="R703" s="289"/>
      <c r="S703" s="232">
        <v>7.9810000000000006E-2</v>
      </c>
      <c r="T703" s="388">
        <v>7.5029999999999999E-2</v>
      </c>
      <c r="U703" s="212" t="str">
        <f t="shared" si="60"/>
        <v>tonne.km</v>
      </c>
      <c r="V703" s="212" t="str">
        <f t="shared" si="61"/>
        <v>Average (up to 3.5. tonnes) - LPG</v>
      </c>
      <c r="W703" s="218" t="s">
        <v>1223</v>
      </c>
      <c r="X703" s="73" t="s">
        <v>249</v>
      </c>
      <c r="Y703" s="389"/>
      <c r="Z703" s="67"/>
      <c r="AA703" s="67"/>
      <c r="AB703" s="67"/>
      <c r="AC703" s="67"/>
    </row>
    <row r="704" spans="2:29">
      <c r="B704" s="166"/>
      <c r="C704" s="173"/>
      <c r="D704" s="212">
        <v>3</v>
      </c>
      <c r="E704" s="212" t="s">
        <v>411</v>
      </c>
      <c r="F704" s="212" t="str">
        <f t="shared" si="62"/>
        <v>3 - Upstream/Downstream Transportation and Distribution</v>
      </c>
      <c r="G704" s="248" t="s">
        <v>307</v>
      </c>
      <c r="H704" s="212" t="s">
        <v>441</v>
      </c>
      <c r="I704" s="212"/>
      <c r="J704" s="212" t="s">
        <v>308</v>
      </c>
      <c r="K704" s="212" t="s">
        <v>445</v>
      </c>
      <c r="L704" s="212" t="s">
        <v>441</v>
      </c>
      <c r="M704" s="215" t="s">
        <v>640</v>
      </c>
      <c r="N704" s="289"/>
      <c r="O704" s="289"/>
      <c r="P704" s="289"/>
      <c r="Q704" s="289"/>
      <c r="R704" s="289"/>
      <c r="S704" s="232">
        <v>3.1850000000000003E-2</v>
      </c>
      <c r="T704" s="388">
        <v>3.0280000000000001E-2</v>
      </c>
      <c r="U704" s="212" t="str">
        <f t="shared" si="60"/>
        <v>km</v>
      </c>
      <c r="V704" s="212" t="str">
        <f t="shared" si="61"/>
        <v>Average (up to 3.5. tonnes) - LPG</v>
      </c>
      <c r="W704" s="218" t="s">
        <v>1223</v>
      </c>
      <c r="X704" s="73" t="s">
        <v>249</v>
      </c>
      <c r="Y704" s="389"/>
      <c r="Z704" s="67"/>
      <c r="AA704" s="67"/>
      <c r="AB704" s="67"/>
      <c r="AC704" s="67"/>
    </row>
    <row r="705" spans="2:29">
      <c r="B705" s="166"/>
      <c r="C705" s="173"/>
      <c r="D705" s="212">
        <v>3</v>
      </c>
      <c r="E705" s="212" t="s">
        <v>411</v>
      </c>
      <c r="F705" s="212" t="str">
        <f t="shared" si="62"/>
        <v>3 - Upstream/Downstream Transportation and Distribution</v>
      </c>
      <c r="G705" s="248" t="s">
        <v>307</v>
      </c>
      <c r="H705" s="212" t="s">
        <v>441</v>
      </c>
      <c r="I705" s="212"/>
      <c r="J705" s="212" t="s">
        <v>308</v>
      </c>
      <c r="K705" s="212" t="s">
        <v>445</v>
      </c>
      <c r="L705" s="212" t="s">
        <v>441</v>
      </c>
      <c r="M705" s="215" t="s">
        <v>640</v>
      </c>
      <c r="N705" s="289"/>
      <c r="O705" s="289"/>
      <c r="P705" s="289"/>
      <c r="Q705" s="289"/>
      <c r="R705" s="289"/>
      <c r="S705" s="232">
        <v>5.126E-2</v>
      </c>
      <c r="T705" s="388">
        <v>4.8730000000000002E-2</v>
      </c>
      <c r="U705" s="212" t="str">
        <f t="shared" si="60"/>
        <v>miles</v>
      </c>
      <c r="V705" s="212" t="str">
        <f t="shared" si="61"/>
        <v>Average (up to 3.5. tonnes) - LPG</v>
      </c>
      <c r="W705" s="218" t="s">
        <v>1223</v>
      </c>
      <c r="X705" s="73" t="s">
        <v>249</v>
      </c>
      <c r="Y705" s="389"/>
      <c r="Z705" s="67"/>
      <c r="AA705" s="67"/>
      <c r="AB705" s="67"/>
      <c r="AC705" s="67"/>
    </row>
    <row r="706" spans="2:29">
      <c r="B706" s="166"/>
      <c r="C706" s="173"/>
      <c r="D706" s="212">
        <v>3</v>
      </c>
      <c r="E706" s="212" t="s">
        <v>411</v>
      </c>
      <c r="F706" s="212" t="str">
        <f t="shared" si="62"/>
        <v>3 - Upstream/Downstream Transportation and Distribution</v>
      </c>
      <c r="G706" s="248" t="s">
        <v>307</v>
      </c>
      <c r="H706" s="212" t="s">
        <v>441</v>
      </c>
      <c r="I706" s="212"/>
      <c r="J706" s="212" t="s">
        <v>308</v>
      </c>
      <c r="K706" s="212" t="s">
        <v>446</v>
      </c>
      <c r="L706" s="212" t="s">
        <v>441</v>
      </c>
      <c r="M706" s="215" t="s">
        <v>641</v>
      </c>
      <c r="N706" s="289"/>
      <c r="O706" s="289"/>
      <c r="P706" s="289"/>
      <c r="Q706" s="289"/>
      <c r="R706" s="289"/>
      <c r="S706" s="232">
        <v>0.14907999999999999</v>
      </c>
      <c r="T706" s="388">
        <v>0.14147000000000001</v>
      </c>
      <c r="U706" s="212" t="str">
        <f t="shared" si="60"/>
        <v>tonne.km</v>
      </c>
      <c r="V706" s="212" t="str">
        <f t="shared" si="61"/>
        <v>Average (up to 3.5. tonnes) - Unknown</v>
      </c>
      <c r="W706" s="218" t="s">
        <v>1224</v>
      </c>
      <c r="X706" s="73" t="s">
        <v>249</v>
      </c>
      <c r="Y706" s="389"/>
      <c r="Z706" s="67"/>
      <c r="AA706" s="67"/>
      <c r="AB706" s="67"/>
      <c r="AC706" s="67"/>
    </row>
    <row r="707" spans="2:29">
      <c r="B707" s="166"/>
      <c r="C707" s="173"/>
      <c r="D707" s="212">
        <v>3</v>
      </c>
      <c r="E707" s="212" t="s">
        <v>411</v>
      </c>
      <c r="F707" s="212" t="str">
        <f t="shared" si="62"/>
        <v>3 - Upstream/Downstream Transportation and Distribution</v>
      </c>
      <c r="G707" s="248" t="s">
        <v>307</v>
      </c>
      <c r="H707" s="212" t="s">
        <v>441</v>
      </c>
      <c r="I707" s="212"/>
      <c r="J707" s="212" t="s">
        <v>308</v>
      </c>
      <c r="K707" s="212" t="s">
        <v>446</v>
      </c>
      <c r="L707" s="212" t="s">
        <v>441</v>
      </c>
      <c r="M707" s="215" t="s">
        <v>641</v>
      </c>
      <c r="N707" s="289"/>
      <c r="O707" s="289"/>
      <c r="P707" s="289"/>
      <c r="Q707" s="289"/>
      <c r="R707" s="289"/>
      <c r="S707" s="232">
        <v>5.8959999999999999E-2</v>
      </c>
      <c r="T707" s="388">
        <v>5.6579999999999998E-2</v>
      </c>
      <c r="U707" s="212" t="str">
        <f t="shared" si="60"/>
        <v>km</v>
      </c>
      <c r="V707" s="212" t="str">
        <f t="shared" si="61"/>
        <v>Average (up to 3.5. tonnes) - Unknown</v>
      </c>
      <c r="W707" s="218" t="s">
        <v>1224</v>
      </c>
      <c r="X707" s="73" t="s">
        <v>249</v>
      </c>
      <c r="Y707" s="389"/>
      <c r="Z707" s="67"/>
      <c r="AA707" s="67"/>
      <c r="AB707" s="67"/>
      <c r="AC707" s="67"/>
    </row>
    <row r="708" spans="2:29">
      <c r="B708" s="166"/>
      <c r="C708" s="173"/>
      <c r="D708" s="212">
        <v>3</v>
      </c>
      <c r="E708" s="212" t="s">
        <v>411</v>
      </c>
      <c r="F708" s="212" t="str">
        <f t="shared" si="62"/>
        <v>3 - Upstream/Downstream Transportation and Distribution</v>
      </c>
      <c r="G708" s="248" t="s">
        <v>307</v>
      </c>
      <c r="H708" s="212" t="s">
        <v>441</v>
      </c>
      <c r="I708" s="212"/>
      <c r="J708" s="212" t="s">
        <v>308</v>
      </c>
      <c r="K708" s="212" t="s">
        <v>446</v>
      </c>
      <c r="L708" s="212" t="s">
        <v>441</v>
      </c>
      <c r="M708" s="215" t="s">
        <v>641</v>
      </c>
      <c r="N708" s="289"/>
      <c r="O708" s="289"/>
      <c r="P708" s="289"/>
      <c r="Q708" s="289"/>
      <c r="R708" s="289"/>
      <c r="S708" s="232">
        <v>9.4890000000000002E-2</v>
      </c>
      <c r="T708" s="388">
        <v>9.1050000000000006E-2</v>
      </c>
      <c r="U708" s="212" t="str">
        <f t="shared" si="60"/>
        <v>miles</v>
      </c>
      <c r="V708" s="212" t="str">
        <f t="shared" si="61"/>
        <v>Average (up to 3.5. tonnes) - Unknown</v>
      </c>
      <c r="W708" s="218" t="s">
        <v>1224</v>
      </c>
      <c r="X708" s="73" t="s">
        <v>249</v>
      </c>
      <c r="Y708" s="389"/>
      <c r="Z708" s="67"/>
      <c r="AA708" s="67"/>
      <c r="AB708" s="67"/>
      <c r="AC708" s="67"/>
    </row>
    <row r="709" spans="2:29">
      <c r="B709" s="166"/>
      <c r="C709" s="173"/>
      <c r="D709" s="212">
        <v>3</v>
      </c>
      <c r="E709" s="212" t="s">
        <v>411</v>
      </c>
      <c r="F709" s="212" t="str">
        <f t="shared" si="62"/>
        <v>3 - Upstream/Downstream Transportation and Distribution</v>
      </c>
      <c r="G709" s="248" t="s">
        <v>307</v>
      </c>
      <c r="H709" s="212" t="s">
        <v>441</v>
      </c>
      <c r="I709" s="212"/>
      <c r="J709" s="212" t="s">
        <v>308</v>
      </c>
      <c r="K709" s="212" t="s">
        <v>447</v>
      </c>
      <c r="L709" s="212" t="s">
        <v>441</v>
      </c>
      <c r="M709" s="215" t="s">
        <v>642</v>
      </c>
      <c r="N709" s="289"/>
      <c r="O709" s="289"/>
      <c r="P709" s="289"/>
      <c r="Q709" s="289"/>
      <c r="R709" s="289"/>
      <c r="S709" s="232">
        <v>6.3930000000000001E-2</v>
      </c>
      <c r="T709" s="388">
        <v>5.8439999999999999E-2</v>
      </c>
      <c r="U709" s="212" t="str">
        <f t="shared" si="60"/>
        <v>tonne.km</v>
      </c>
      <c r="V709" s="212" t="str">
        <f t="shared" si="61"/>
        <v>Average (up to 3.5. tonnes) - Battery Electric Vehicle</v>
      </c>
      <c r="W709" s="218" t="s">
        <v>1225</v>
      </c>
      <c r="X709" s="73" t="s">
        <v>249</v>
      </c>
      <c r="Y709" s="389"/>
      <c r="Z709" s="67"/>
      <c r="AA709" s="67"/>
      <c r="AB709" s="67"/>
      <c r="AC709" s="67"/>
    </row>
    <row r="710" spans="2:29">
      <c r="B710" s="166"/>
      <c r="C710" s="173"/>
      <c r="D710" s="212">
        <v>3</v>
      </c>
      <c r="E710" s="212" t="s">
        <v>411</v>
      </c>
      <c r="F710" s="212" t="str">
        <f t="shared" si="62"/>
        <v>3 - Upstream/Downstream Transportation and Distribution</v>
      </c>
      <c r="G710" s="248" t="s">
        <v>307</v>
      </c>
      <c r="H710" s="212" t="s">
        <v>441</v>
      </c>
      <c r="I710" s="212"/>
      <c r="J710" s="212" t="s">
        <v>308</v>
      </c>
      <c r="K710" s="212" t="s">
        <v>447</v>
      </c>
      <c r="L710" s="212" t="s">
        <v>441</v>
      </c>
      <c r="M710" s="215" t="s">
        <v>642</v>
      </c>
      <c r="N710" s="289"/>
      <c r="O710" s="289"/>
      <c r="P710" s="289"/>
      <c r="Q710" s="289"/>
      <c r="R710" s="289"/>
      <c r="S710" s="232">
        <v>1.423E-2</v>
      </c>
      <c r="T710" s="388">
        <v>1.6330000000000001E-2</v>
      </c>
      <c r="U710" s="212" t="str">
        <f t="shared" si="60"/>
        <v>km</v>
      </c>
      <c r="V710" s="212" t="str">
        <f t="shared" si="61"/>
        <v>Average (up to 3.5. tonnes) - Battery Electric Vehicle</v>
      </c>
      <c r="W710" s="218" t="s">
        <v>1225</v>
      </c>
      <c r="X710" s="73" t="s">
        <v>249</v>
      </c>
      <c r="Y710" s="389"/>
      <c r="Z710" s="67"/>
      <c r="AA710" s="67"/>
      <c r="AB710" s="67"/>
      <c r="AC710" s="67"/>
    </row>
    <row r="711" spans="2:29">
      <c r="B711" s="166"/>
      <c r="C711" s="173"/>
      <c r="D711" s="212">
        <v>3</v>
      </c>
      <c r="E711" s="212" t="s">
        <v>411</v>
      </c>
      <c r="F711" s="212" t="str">
        <f t="shared" si="62"/>
        <v>3 - Upstream/Downstream Transportation and Distribution</v>
      </c>
      <c r="G711" s="248" t="s">
        <v>307</v>
      </c>
      <c r="H711" s="212" t="s">
        <v>441</v>
      </c>
      <c r="I711" s="212"/>
      <c r="J711" s="212" t="s">
        <v>308</v>
      </c>
      <c r="K711" s="212" t="s">
        <v>447</v>
      </c>
      <c r="L711" s="212" t="s">
        <v>441</v>
      </c>
      <c r="M711" s="215" t="s">
        <v>642</v>
      </c>
      <c r="N711" s="289"/>
      <c r="O711" s="289"/>
      <c r="P711" s="289"/>
      <c r="Q711" s="289"/>
      <c r="R711" s="289"/>
      <c r="S711" s="232">
        <v>2.29E-2</v>
      </c>
      <c r="T711" s="388">
        <v>2.6280000000000001E-2</v>
      </c>
      <c r="U711" s="212" t="str">
        <f t="shared" si="60"/>
        <v>miles</v>
      </c>
      <c r="V711" s="212" t="str">
        <f t="shared" si="61"/>
        <v>Average (up to 3.5. tonnes) - Battery Electric Vehicle</v>
      </c>
      <c r="W711" s="218" t="s">
        <v>1225</v>
      </c>
      <c r="X711" s="73" t="s">
        <v>249</v>
      </c>
      <c r="Y711" s="389"/>
      <c r="Z711" s="67"/>
      <c r="AA711" s="67"/>
      <c r="AB711" s="67"/>
      <c r="AC711" s="67"/>
    </row>
    <row r="712" spans="2:29">
      <c r="B712" s="166"/>
      <c r="C712" s="173"/>
      <c r="D712" s="212">
        <v>3</v>
      </c>
      <c r="E712" s="212" t="s">
        <v>448</v>
      </c>
      <c r="F712" s="212" t="str">
        <f t="shared" si="62"/>
        <v>3 - Business Travel</v>
      </c>
      <c r="G712" s="248" t="s">
        <v>307</v>
      </c>
      <c r="H712" s="212" t="s">
        <v>449</v>
      </c>
      <c r="I712" s="212"/>
      <c r="J712" s="212" t="s">
        <v>308</v>
      </c>
      <c r="K712" s="212" t="s">
        <v>450</v>
      </c>
      <c r="L712" s="212" t="s">
        <v>266</v>
      </c>
      <c r="M712" s="215" t="s">
        <v>643</v>
      </c>
      <c r="N712" s="289"/>
      <c r="O712" s="289"/>
      <c r="P712" s="289"/>
      <c r="Q712" s="289"/>
      <c r="R712" s="289"/>
      <c r="S712" s="232">
        <v>2.691E-2</v>
      </c>
      <c r="T712" s="388">
        <v>3.3500000000000002E-2</v>
      </c>
      <c r="U712" s="212" t="str">
        <f t="shared" si="60"/>
        <v>passenger.km</v>
      </c>
      <c r="V712" s="212" t="str">
        <f t="shared" si="61"/>
        <v>Domestic, to/from UK - Average passenger - with RF</v>
      </c>
      <c r="W712" s="218" t="s">
        <v>1226</v>
      </c>
      <c r="X712" s="73" t="s">
        <v>249</v>
      </c>
      <c r="Y712" s="389"/>
      <c r="Z712" s="67"/>
      <c r="AA712" s="67"/>
      <c r="AB712" s="67"/>
      <c r="AC712" s="67"/>
    </row>
    <row r="713" spans="2:29">
      <c r="B713" s="166"/>
      <c r="C713" s="173"/>
      <c r="D713" s="212">
        <v>3</v>
      </c>
      <c r="E713" s="212" t="s">
        <v>448</v>
      </c>
      <c r="F713" s="212" t="str">
        <f t="shared" si="62"/>
        <v>3 - Business Travel</v>
      </c>
      <c r="G713" s="248" t="s">
        <v>307</v>
      </c>
      <c r="H713" s="212" t="s">
        <v>451</v>
      </c>
      <c r="I713" s="212"/>
      <c r="J713" s="212" t="s">
        <v>308</v>
      </c>
      <c r="K713" s="212" t="s">
        <v>452</v>
      </c>
      <c r="L713" s="212" t="s">
        <v>266</v>
      </c>
      <c r="M713" s="215" t="s">
        <v>644</v>
      </c>
      <c r="N713" s="289"/>
      <c r="O713" s="289"/>
      <c r="P713" s="289"/>
      <c r="Q713" s="289"/>
      <c r="R713" s="289"/>
      <c r="S713" s="232">
        <v>1.6809999999999999E-2</v>
      </c>
      <c r="T713" s="388">
        <v>2.2859999999999998E-2</v>
      </c>
      <c r="U713" s="212" t="str">
        <f t="shared" si="60"/>
        <v>passenger.km</v>
      </c>
      <c r="V713" s="212" t="str">
        <f t="shared" si="61"/>
        <v>Short-haul - to/from UK - Average passenger - with RF</v>
      </c>
      <c r="W713" s="218" t="s">
        <v>1227</v>
      </c>
      <c r="X713" s="73" t="s">
        <v>249</v>
      </c>
      <c r="Y713" s="389"/>
      <c r="Z713" s="67"/>
      <c r="AA713" s="67"/>
      <c r="AB713" s="67"/>
      <c r="AC713" s="67"/>
    </row>
    <row r="714" spans="2:29">
      <c r="B714" s="166"/>
      <c r="C714" s="173"/>
      <c r="D714" s="212">
        <v>3</v>
      </c>
      <c r="E714" s="212" t="s">
        <v>448</v>
      </c>
      <c r="F714" s="212" t="str">
        <f t="shared" si="62"/>
        <v>3 - Business Travel</v>
      </c>
      <c r="G714" s="248" t="s">
        <v>307</v>
      </c>
      <c r="H714" s="212" t="s">
        <v>451</v>
      </c>
      <c r="I714" s="212"/>
      <c r="J714" s="212" t="s">
        <v>308</v>
      </c>
      <c r="K714" s="212" t="s">
        <v>453</v>
      </c>
      <c r="L714" s="212" t="s">
        <v>266</v>
      </c>
      <c r="M714" s="215" t="s">
        <v>645</v>
      </c>
      <c r="N714" s="289"/>
      <c r="O714" s="289"/>
      <c r="P714" s="289"/>
      <c r="Q714" s="289"/>
      <c r="R714" s="289"/>
      <c r="S714" s="232">
        <v>1.6539999999999999E-2</v>
      </c>
      <c r="T714" s="388">
        <v>2.249E-2</v>
      </c>
      <c r="U714" s="212" t="str">
        <f t="shared" si="60"/>
        <v>passenger.km</v>
      </c>
      <c r="V714" s="212" t="str">
        <f t="shared" si="61"/>
        <v>Short-haul - to/from UK - Economy class - with RF</v>
      </c>
      <c r="W714" s="218" t="s">
        <v>1228</v>
      </c>
      <c r="X714" s="73" t="s">
        <v>249</v>
      </c>
      <c r="Y714" s="389"/>
      <c r="Z714" s="67"/>
      <c r="AA714" s="67"/>
      <c r="AB714" s="67"/>
      <c r="AC714" s="67"/>
    </row>
    <row r="715" spans="2:29">
      <c r="B715" s="166"/>
      <c r="C715" s="173"/>
      <c r="D715" s="212">
        <v>3</v>
      </c>
      <c r="E715" s="212" t="s">
        <v>448</v>
      </c>
      <c r="F715" s="212" t="str">
        <f t="shared" si="62"/>
        <v>3 - Business Travel</v>
      </c>
      <c r="G715" s="248" t="s">
        <v>307</v>
      </c>
      <c r="H715" s="212" t="s">
        <v>451</v>
      </c>
      <c r="I715" s="212"/>
      <c r="J715" s="212" t="s">
        <v>308</v>
      </c>
      <c r="K715" s="212" t="s">
        <v>454</v>
      </c>
      <c r="L715" s="212" t="s">
        <v>266</v>
      </c>
      <c r="M715" s="215" t="s">
        <v>646</v>
      </c>
      <c r="N715" s="289"/>
      <c r="O715" s="289"/>
      <c r="P715" s="289"/>
      <c r="Q715" s="289"/>
      <c r="R715" s="289"/>
      <c r="S715" s="232">
        <v>2.4799999999999999E-2</v>
      </c>
      <c r="T715" s="388">
        <v>3.3730000000000003E-2</v>
      </c>
      <c r="U715" s="212" t="str">
        <f t="shared" si="60"/>
        <v>passenger.km</v>
      </c>
      <c r="V715" s="212" t="str">
        <f t="shared" si="61"/>
        <v>Short-haul - to/from UK - Business class - with RF</v>
      </c>
      <c r="W715" s="218" t="s">
        <v>1229</v>
      </c>
      <c r="X715" s="73" t="s">
        <v>249</v>
      </c>
      <c r="Y715" s="389"/>
      <c r="Z715" s="67"/>
      <c r="AA715" s="67"/>
      <c r="AB715" s="67"/>
      <c r="AC715" s="67"/>
    </row>
    <row r="716" spans="2:29">
      <c r="B716" s="166"/>
      <c r="C716" s="173"/>
      <c r="D716" s="212">
        <v>3</v>
      </c>
      <c r="E716" s="212" t="s">
        <v>448</v>
      </c>
      <c r="F716" s="212" t="str">
        <f t="shared" si="62"/>
        <v>3 - Business Travel</v>
      </c>
      <c r="G716" s="248" t="s">
        <v>307</v>
      </c>
      <c r="H716" s="212" t="s">
        <v>455</v>
      </c>
      <c r="I716" s="212"/>
      <c r="J716" s="212" t="s">
        <v>308</v>
      </c>
      <c r="K716" s="212" t="s">
        <v>456</v>
      </c>
      <c r="L716" s="212" t="s">
        <v>266</v>
      </c>
      <c r="M716" s="215" t="s">
        <v>647</v>
      </c>
      <c r="N716" s="289"/>
      <c r="O716" s="289"/>
      <c r="P716" s="289"/>
      <c r="Q716" s="289"/>
      <c r="R716" s="289"/>
      <c r="S716" s="232">
        <v>2.1139999999999999E-2</v>
      </c>
      <c r="T716" s="388">
        <v>3.2129999999999999E-2</v>
      </c>
      <c r="U716" s="212" t="str">
        <f t="shared" si="60"/>
        <v>passenger.km</v>
      </c>
      <c r="V716" s="212" t="str">
        <f t="shared" si="61"/>
        <v>Long-haul - to/from UK - Average passenger - with RF</v>
      </c>
      <c r="W716" s="218" t="s">
        <v>1230</v>
      </c>
      <c r="X716" s="73" t="s">
        <v>249</v>
      </c>
      <c r="Y716" s="389"/>
      <c r="Z716" s="67"/>
      <c r="AA716" s="67"/>
      <c r="AB716" s="67"/>
      <c r="AC716" s="67"/>
    </row>
    <row r="717" spans="2:29">
      <c r="B717" s="166"/>
      <c r="C717" s="173"/>
      <c r="D717" s="212">
        <v>3</v>
      </c>
      <c r="E717" s="212" t="s">
        <v>448</v>
      </c>
      <c r="F717" s="212" t="str">
        <f t="shared" si="62"/>
        <v>3 - Business Travel</v>
      </c>
      <c r="G717" s="248" t="s">
        <v>307</v>
      </c>
      <c r="H717" s="212" t="s">
        <v>455</v>
      </c>
      <c r="I717" s="212"/>
      <c r="J717" s="212" t="s">
        <v>308</v>
      </c>
      <c r="K717" s="212" t="s">
        <v>457</v>
      </c>
      <c r="L717" s="212" t="s">
        <v>266</v>
      </c>
      <c r="M717" s="215" t="s">
        <v>648</v>
      </c>
      <c r="N717" s="289"/>
      <c r="O717" s="289"/>
      <c r="P717" s="289"/>
      <c r="Q717" s="289"/>
      <c r="R717" s="289"/>
      <c r="S717" s="232">
        <v>1.619E-2</v>
      </c>
      <c r="T717" s="388">
        <v>2.461E-2</v>
      </c>
      <c r="U717" s="212" t="str">
        <f t="shared" si="60"/>
        <v>passenger.km</v>
      </c>
      <c r="V717" s="212" t="str">
        <f t="shared" si="61"/>
        <v>Long-haul - to/from UK - Economy class - with RF</v>
      </c>
      <c r="W717" s="218" t="s">
        <v>1231</v>
      </c>
      <c r="X717" s="73" t="s">
        <v>249</v>
      </c>
      <c r="Y717" s="389"/>
      <c r="Z717" s="67"/>
      <c r="AA717" s="67"/>
      <c r="AB717" s="67"/>
      <c r="AC717" s="67"/>
    </row>
    <row r="718" spans="2:29">
      <c r="B718" s="166"/>
      <c r="C718" s="173"/>
      <c r="D718" s="212">
        <v>3</v>
      </c>
      <c r="E718" s="212" t="s">
        <v>448</v>
      </c>
      <c r="F718" s="212" t="str">
        <f t="shared" si="62"/>
        <v>3 - Business Travel</v>
      </c>
      <c r="G718" s="248" t="s">
        <v>307</v>
      </c>
      <c r="H718" s="212" t="s">
        <v>455</v>
      </c>
      <c r="I718" s="212"/>
      <c r="J718" s="212" t="s">
        <v>308</v>
      </c>
      <c r="K718" s="212" t="s">
        <v>458</v>
      </c>
      <c r="L718" s="212" t="s">
        <v>266</v>
      </c>
      <c r="M718" s="215" t="s">
        <v>649</v>
      </c>
      <c r="N718" s="289"/>
      <c r="O718" s="289"/>
      <c r="P718" s="289"/>
      <c r="Q718" s="289"/>
      <c r="R718" s="289"/>
      <c r="S718" s="232">
        <v>2.5909999999999999E-2</v>
      </c>
      <c r="T718" s="388">
        <v>3.9370000000000002E-2</v>
      </c>
      <c r="U718" s="212" t="str">
        <f t="shared" si="60"/>
        <v>passenger.km</v>
      </c>
      <c r="V718" s="212" t="str">
        <f t="shared" si="61"/>
        <v>Long-haul - to/from UK - Premium economy class - with RF</v>
      </c>
      <c r="W718" s="218" t="s">
        <v>1232</v>
      </c>
      <c r="X718" s="73" t="s">
        <v>249</v>
      </c>
      <c r="Y718" s="389"/>
      <c r="Z718" s="67"/>
      <c r="AA718" s="67"/>
      <c r="AB718" s="67"/>
      <c r="AC718" s="67"/>
    </row>
    <row r="719" spans="2:29">
      <c r="B719" s="166"/>
      <c r="C719" s="173"/>
      <c r="D719" s="212">
        <v>3</v>
      </c>
      <c r="E719" s="212" t="s">
        <v>448</v>
      </c>
      <c r="F719" s="212" t="str">
        <f t="shared" si="62"/>
        <v>3 - Business Travel</v>
      </c>
      <c r="G719" s="248" t="s">
        <v>307</v>
      </c>
      <c r="H719" s="212" t="s">
        <v>455</v>
      </c>
      <c r="I719" s="212"/>
      <c r="J719" s="212" t="s">
        <v>308</v>
      </c>
      <c r="K719" s="212" t="s">
        <v>267</v>
      </c>
      <c r="L719" s="212" t="s">
        <v>266</v>
      </c>
      <c r="M719" s="215" t="s">
        <v>650</v>
      </c>
      <c r="N719" s="289"/>
      <c r="O719" s="289"/>
      <c r="P719" s="289"/>
      <c r="Q719" s="289"/>
      <c r="R719" s="289"/>
      <c r="S719" s="232">
        <v>4.6960000000000002E-2</v>
      </c>
      <c r="T719" s="388">
        <v>7.1370000000000003E-2</v>
      </c>
      <c r="U719" s="212" t="str">
        <f t="shared" ref="U719:U750" si="63">U360</f>
        <v>passenger.km</v>
      </c>
      <c r="V719" s="212" t="str">
        <f t="shared" si="61"/>
        <v>Long-haul - to/from UK - Business class - with RF</v>
      </c>
      <c r="W719" s="218" t="s">
        <v>1233</v>
      </c>
      <c r="X719" s="73" t="s">
        <v>249</v>
      </c>
      <c r="Y719" s="389"/>
      <c r="Z719" s="67"/>
      <c r="AA719" s="67"/>
      <c r="AB719" s="67"/>
      <c r="AC719" s="67"/>
    </row>
    <row r="720" spans="2:29">
      <c r="B720" s="166"/>
      <c r="C720" s="173"/>
      <c r="D720" s="212">
        <v>3</v>
      </c>
      <c r="E720" s="212" t="s">
        <v>448</v>
      </c>
      <c r="F720" s="212" t="str">
        <f t="shared" si="62"/>
        <v>3 - Business Travel</v>
      </c>
      <c r="G720" s="248" t="s">
        <v>307</v>
      </c>
      <c r="H720" s="212" t="s">
        <v>455</v>
      </c>
      <c r="I720" s="212"/>
      <c r="J720" s="212" t="s">
        <v>308</v>
      </c>
      <c r="K720" s="212" t="s">
        <v>459</v>
      </c>
      <c r="L720" s="212" t="s">
        <v>266</v>
      </c>
      <c r="M720" s="215" t="s">
        <v>651</v>
      </c>
      <c r="N720" s="289"/>
      <c r="O720" s="289"/>
      <c r="P720" s="289"/>
      <c r="Q720" s="289"/>
      <c r="R720" s="289"/>
      <c r="S720" s="232">
        <v>6.4769999999999994E-2</v>
      </c>
      <c r="T720" s="388">
        <v>9.844E-2</v>
      </c>
      <c r="U720" s="212" t="str">
        <f t="shared" si="63"/>
        <v>passenger.km</v>
      </c>
      <c r="V720" s="212" t="str">
        <f t="shared" si="61"/>
        <v>Long-haul - to/from UK - First class - with RF</v>
      </c>
      <c r="W720" s="218" t="s">
        <v>1234</v>
      </c>
      <c r="X720" s="73" t="s">
        <v>249</v>
      </c>
      <c r="Y720" s="389"/>
      <c r="Z720" s="67"/>
      <c r="AA720" s="67"/>
      <c r="AB720" s="67"/>
      <c r="AC720" s="67"/>
    </row>
    <row r="721" spans="2:29">
      <c r="B721" s="166"/>
      <c r="C721" s="173"/>
      <c r="D721" s="212">
        <v>3</v>
      </c>
      <c r="E721" s="212" t="s">
        <v>448</v>
      </c>
      <c r="F721" s="212" t="str">
        <f t="shared" si="62"/>
        <v>3 - Business Travel</v>
      </c>
      <c r="G721" s="248" t="s">
        <v>307</v>
      </c>
      <c r="H721" s="212" t="s">
        <v>460</v>
      </c>
      <c r="I721" s="212"/>
      <c r="J721" s="212" t="s">
        <v>308</v>
      </c>
      <c r="K721" s="212" t="s">
        <v>461</v>
      </c>
      <c r="L721" s="212" t="s">
        <v>266</v>
      </c>
      <c r="M721" s="215" t="s">
        <v>652</v>
      </c>
      <c r="N721" s="289"/>
      <c r="O721" s="289"/>
      <c r="P721" s="289"/>
      <c r="Q721" s="289"/>
      <c r="R721" s="289"/>
      <c r="S721" s="232">
        <v>2.0109999999999999E-2</v>
      </c>
      <c r="T721" s="388">
        <v>2.162E-2</v>
      </c>
      <c r="U721" s="212" t="str">
        <f t="shared" si="63"/>
        <v>passenger.km</v>
      </c>
      <c r="V721" s="212" t="str">
        <f t="shared" si="61"/>
        <v>International, to/from non-UK - Average passenger - with RF</v>
      </c>
      <c r="W721" s="218" t="s">
        <v>1235</v>
      </c>
      <c r="X721" s="73" t="s">
        <v>249</v>
      </c>
      <c r="Y721" s="389"/>
      <c r="Z721" s="67"/>
      <c r="AA721" s="67"/>
      <c r="AB721" s="67"/>
      <c r="AC721" s="67"/>
    </row>
    <row r="722" spans="2:29">
      <c r="B722" s="166"/>
      <c r="C722" s="173"/>
      <c r="D722" s="212">
        <v>3</v>
      </c>
      <c r="E722" s="212" t="s">
        <v>448</v>
      </c>
      <c r="F722" s="212" t="str">
        <f t="shared" si="62"/>
        <v>3 - Business Travel</v>
      </c>
      <c r="G722" s="248" t="s">
        <v>307</v>
      </c>
      <c r="H722" s="212" t="s">
        <v>460</v>
      </c>
      <c r="I722" s="212"/>
      <c r="J722" s="212" t="s">
        <v>308</v>
      </c>
      <c r="K722" s="212" t="s">
        <v>462</v>
      </c>
      <c r="L722" s="212" t="s">
        <v>266</v>
      </c>
      <c r="M722" s="215" t="s">
        <v>653</v>
      </c>
      <c r="N722" s="289"/>
      <c r="O722" s="289"/>
      <c r="P722" s="289"/>
      <c r="Q722" s="289"/>
      <c r="R722" s="289"/>
      <c r="S722" s="232">
        <v>1.54E-2</v>
      </c>
      <c r="T722" s="388">
        <v>1.6559999999999998E-2</v>
      </c>
      <c r="U722" s="212" t="str">
        <f t="shared" si="63"/>
        <v>passenger.km</v>
      </c>
      <c r="V722" s="212" t="str">
        <f t="shared" si="61"/>
        <v>International, to/from non-UK - Economy class - with RF</v>
      </c>
      <c r="W722" s="218" t="s">
        <v>1236</v>
      </c>
      <c r="X722" s="73" t="s">
        <v>249</v>
      </c>
      <c r="Y722" s="389"/>
      <c r="Z722" s="67"/>
      <c r="AA722" s="67"/>
      <c r="AB722" s="67"/>
      <c r="AC722" s="67"/>
    </row>
    <row r="723" spans="2:29">
      <c r="B723" s="166"/>
      <c r="C723" s="173"/>
      <c r="D723" s="212">
        <v>3</v>
      </c>
      <c r="E723" s="212" t="s">
        <v>448</v>
      </c>
      <c r="F723" s="212" t="str">
        <f t="shared" si="62"/>
        <v>3 - Business Travel</v>
      </c>
      <c r="G723" s="248" t="s">
        <v>307</v>
      </c>
      <c r="H723" s="212" t="s">
        <v>460</v>
      </c>
      <c r="I723" s="212"/>
      <c r="J723" s="212" t="s">
        <v>308</v>
      </c>
      <c r="K723" s="212" t="s">
        <v>463</v>
      </c>
      <c r="L723" s="212" t="s">
        <v>266</v>
      </c>
      <c r="M723" s="215" t="s">
        <v>654</v>
      </c>
      <c r="N723" s="289"/>
      <c r="O723" s="289"/>
      <c r="P723" s="289"/>
      <c r="Q723" s="289"/>
      <c r="R723" s="289"/>
      <c r="S723" s="232">
        <v>2.4639999999999999E-2</v>
      </c>
      <c r="T723" s="388">
        <v>2.649E-2</v>
      </c>
      <c r="U723" s="212" t="str">
        <f t="shared" si="63"/>
        <v>passenger.km</v>
      </c>
      <c r="V723" s="212" t="str">
        <f t="shared" si="61"/>
        <v>International, to/from non-UK - Premium economy class - with RF</v>
      </c>
      <c r="W723" s="218" t="s">
        <v>1237</v>
      </c>
      <c r="X723" s="73" t="s">
        <v>249</v>
      </c>
      <c r="Y723" s="389"/>
      <c r="Z723" s="67"/>
      <c r="AA723" s="67"/>
      <c r="AB723" s="67"/>
      <c r="AC723" s="67"/>
    </row>
    <row r="724" spans="2:29">
      <c r="B724" s="166"/>
      <c r="C724" s="173"/>
      <c r="D724" s="212">
        <v>3</v>
      </c>
      <c r="E724" s="212" t="s">
        <v>448</v>
      </c>
      <c r="F724" s="212" t="str">
        <f t="shared" si="62"/>
        <v>3 - Business Travel</v>
      </c>
      <c r="G724" s="248" t="s">
        <v>307</v>
      </c>
      <c r="H724" s="212" t="s">
        <v>460</v>
      </c>
      <c r="I724" s="212"/>
      <c r="J724" s="212" t="s">
        <v>308</v>
      </c>
      <c r="K724" s="212" t="s">
        <v>464</v>
      </c>
      <c r="L724" s="212" t="s">
        <v>266</v>
      </c>
      <c r="M724" s="215" t="s">
        <v>655</v>
      </c>
      <c r="N724" s="289"/>
      <c r="O724" s="289"/>
      <c r="P724" s="289"/>
      <c r="Q724" s="289"/>
      <c r="R724" s="289"/>
      <c r="S724" s="232">
        <v>4.4659999999999998E-2</v>
      </c>
      <c r="T724" s="388">
        <v>4.802E-2</v>
      </c>
      <c r="U724" s="212" t="str">
        <f t="shared" si="63"/>
        <v>passenger.km</v>
      </c>
      <c r="V724" s="212" t="str">
        <f t="shared" si="61"/>
        <v>International, to/from non-UK - Business class - with RF</v>
      </c>
      <c r="W724" s="218" t="s">
        <v>1238</v>
      </c>
      <c r="X724" s="73" t="s">
        <v>249</v>
      </c>
      <c r="Y724" s="389"/>
      <c r="Z724" s="67"/>
      <c r="AA724" s="67"/>
      <c r="AB724" s="67"/>
      <c r="AC724" s="67"/>
    </row>
    <row r="725" spans="2:29">
      <c r="B725" s="166"/>
      <c r="C725" s="173"/>
      <c r="D725" s="212">
        <v>3</v>
      </c>
      <c r="E725" s="212" t="s">
        <v>448</v>
      </c>
      <c r="F725" s="212" t="str">
        <f t="shared" si="62"/>
        <v>3 - Business Travel</v>
      </c>
      <c r="G725" s="248" t="s">
        <v>307</v>
      </c>
      <c r="H725" s="212" t="s">
        <v>460</v>
      </c>
      <c r="I725" s="212"/>
      <c r="J725" s="212" t="s">
        <v>308</v>
      </c>
      <c r="K725" s="212" t="s">
        <v>465</v>
      </c>
      <c r="L725" s="212" t="s">
        <v>266</v>
      </c>
      <c r="M725" s="215" t="s">
        <v>656</v>
      </c>
      <c r="N725" s="289"/>
      <c r="O725" s="289"/>
      <c r="P725" s="289"/>
      <c r="Q725" s="289"/>
      <c r="R725" s="289"/>
      <c r="S725" s="232">
        <v>6.1589999999999999E-2</v>
      </c>
      <c r="T725" s="388">
        <v>6.6229999999999997E-2</v>
      </c>
      <c r="U725" s="212" t="str">
        <f t="shared" si="63"/>
        <v>passenger.km</v>
      </c>
      <c r="V725" s="212" t="str">
        <f t="shared" si="61"/>
        <v>International, to/from non-UK - First class - with RF</v>
      </c>
      <c r="W725" s="218" t="s">
        <v>1239</v>
      </c>
      <c r="X725" s="73" t="s">
        <v>249</v>
      </c>
      <c r="Y725" s="389"/>
      <c r="Z725" s="67"/>
      <c r="AA725" s="67"/>
      <c r="AB725" s="67"/>
      <c r="AC725" s="67"/>
    </row>
    <row r="726" spans="2:29">
      <c r="B726" s="166"/>
      <c r="C726" s="173"/>
      <c r="D726" s="212">
        <v>3</v>
      </c>
      <c r="E726" s="212" t="s">
        <v>448</v>
      </c>
      <c r="F726" s="212" t="str">
        <f t="shared" si="62"/>
        <v>3 - Business Travel</v>
      </c>
      <c r="G726" s="248" t="s">
        <v>307</v>
      </c>
      <c r="H726" s="212" t="s">
        <v>466</v>
      </c>
      <c r="I726" s="212"/>
      <c r="J726" s="212" t="s">
        <v>308</v>
      </c>
      <c r="K726" s="212" t="s">
        <v>467</v>
      </c>
      <c r="L726" s="212" t="s">
        <v>466</v>
      </c>
      <c r="M726" s="215" t="s">
        <v>657</v>
      </c>
      <c r="N726" s="289"/>
      <c r="O726" s="289"/>
      <c r="P726" s="289"/>
      <c r="Q726" s="289"/>
      <c r="R726" s="289"/>
      <c r="S726" s="232">
        <v>4.2100000000000002E-3</v>
      </c>
      <c r="T726" s="388">
        <v>1.8710813959731544E-2</v>
      </c>
      <c r="U726" s="212" t="str">
        <f t="shared" si="63"/>
        <v>passenger.km</v>
      </c>
      <c r="V726" s="212" t="str">
        <f t="shared" si="61"/>
        <v>Foot passenger</v>
      </c>
      <c r="W726" s="218" t="s">
        <v>1240</v>
      </c>
      <c r="X726" s="73" t="s">
        <v>249</v>
      </c>
      <c r="Y726" s="389"/>
      <c r="Z726" s="67"/>
      <c r="AA726" s="67"/>
      <c r="AB726" s="67"/>
      <c r="AC726" s="67"/>
    </row>
    <row r="727" spans="2:29">
      <c r="B727" s="166"/>
      <c r="C727" s="173"/>
      <c r="D727" s="212">
        <v>3</v>
      </c>
      <c r="E727" s="212" t="s">
        <v>448</v>
      </c>
      <c r="F727" s="212" t="str">
        <f t="shared" si="62"/>
        <v>3 - Business Travel</v>
      </c>
      <c r="G727" s="248" t="s">
        <v>307</v>
      </c>
      <c r="H727" s="212" t="s">
        <v>466</v>
      </c>
      <c r="I727" s="212"/>
      <c r="J727" s="212" t="s">
        <v>308</v>
      </c>
      <c r="K727" s="212" t="s">
        <v>468</v>
      </c>
      <c r="L727" s="212" t="s">
        <v>466</v>
      </c>
      <c r="M727" s="215" t="s">
        <v>658</v>
      </c>
      <c r="N727" s="289"/>
      <c r="O727" s="289"/>
      <c r="P727" s="289"/>
      <c r="Q727" s="289"/>
      <c r="R727" s="289"/>
      <c r="S727" s="232">
        <v>2.9090000000000001E-2</v>
      </c>
      <c r="T727" s="388">
        <v>0.12932887543624161</v>
      </c>
      <c r="U727" s="212" t="str">
        <f t="shared" si="63"/>
        <v>passenger.km</v>
      </c>
      <c r="V727" s="212" t="str">
        <f>K727</f>
        <v>Car passenger</v>
      </c>
      <c r="W727" s="218" t="s">
        <v>1241</v>
      </c>
      <c r="X727" s="73" t="s">
        <v>249</v>
      </c>
      <c r="Y727" s="389"/>
      <c r="Z727" s="67"/>
      <c r="AA727" s="67"/>
      <c r="AB727" s="67"/>
      <c r="AC727" s="67"/>
    </row>
    <row r="728" spans="2:29">
      <c r="B728" s="166"/>
      <c r="C728" s="173"/>
      <c r="D728" s="212">
        <v>3</v>
      </c>
      <c r="E728" s="212" t="s">
        <v>448</v>
      </c>
      <c r="F728" s="212" t="str">
        <f t="shared" si="62"/>
        <v>3 - Business Travel</v>
      </c>
      <c r="G728" s="248" t="s">
        <v>307</v>
      </c>
      <c r="H728" s="212" t="s">
        <v>466</v>
      </c>
      <c r="I728" s="212"/>
      <c r="J728" s="212" t="s">
        <v>308</v>
      </c>
      <c r="K728" s="212" t="s">
        <v>469</v>
      </c>
      <c r="L728" s="212" t="s">
        <v>466</v>
      </c>
      <c r="M728" s="215" t="s">
        <v>659</v>
      </c>
      <c r="N728" s="289"/>
      <c r="O728" s="289"/>
      <c r="P728" s="289"/>
      <c r="Q728" s="289"/>
      <c r="R728" s="289"/>
      <c r="S728" s="232">
        <v>2.5350000000000001E-2</v>
      </c>
      <c r="T728" s="388">
        <v>0.11269808080536912</v>
      </c>
      <c r="U728" s="212" t="str">
        <f t="shared" si="63"/>
        <v>passenger.km</v>
      </c>
      <c r="V728" s="212" t="str">
        <f t="shared" ref="V728:V751" si="64">K728</f>
        <v>Average (all passenger)</v>
      </c>
      <c r="W728" s="218" t="s">
        <v>1242</v>
      </c>
      <c r="X728" s="73" t="s">
        <v>249</v>
      </c>
      <c r="Y728" s="389"/>
      <c r="Z728" s="67"/>
      <c r="AA728" s="67"/>
      <c r="AB728" s="67"/>
      <c r="AC728" s="67"/>
    </row>
    <row r="729" spans="2:29">
      <c r="B729" s="166"/>
      <c r="C729" s="173"/>
      <c r="D729" s="212">
        <v>3</v>
      </c>
      <c r="E729" s="212" t="s">
        <v>448</v>
      </c>
      <c r="F729" s="212" t="str">
        <f t="shared" si="62"/>
        <v>3 - Business Travel</v>
      </c>
      <c r="G729" s="248" t="s">
        <v>307</v>
      </c>
      <c r="H729" s="212" t="s">
        <v>470</v>
      </c>
      <c r="I729" s="212"/>
      <c r="J729" s="212" t="s">
        <v>308</v>
      </c>
      <c r="K729" s="212" t="s">
        <v>203</v>
      </c>
      <c r="L729" s="212" t="s">
        <v>272</v>
      </c>
      <c r="M729" s="215" t="s">
        <v>660</v>
      </c>
      <c r="N729" s="289"/>
      <c r="O729" s="289"/>
      <c r="P729" s="289"/>
      <c r="Q729" s="289"/>
      <c r="R729" s="289"/>
      <c r="S729" s="232">
        <v>4.104E-2</v>
      </c>
      <c r="T729" s="388">
        <v>4.1450000000000001E-2</v>
      </c>
      <c r="U729" s="212" t="str">
        <f t="shared" si="63"/>
        <v>km</v>
      </c>
      <c r="V729" s="212" t="str">
        <f t="shared" si="64"/>
        <v>Diesel</v>
      </c>
      <c r="W729" s="218" t="s">
        <v>1243</v>
      </c>
      <c r="X729" s="73" t="s">
        <v>249</v>
      </c>
      <c r="Y729" s="389"/>
      <c r="Z729" s="67"/>
      <c r="AA729" s="67"/>
      <c r="AB729" s="67"/>
      <c r="AC729" s="67"/>
    </row>
    <row r="730" spans="2:29">
      <c r="B730" s="166"/>
      <c r="C730" s="173"/>
      <c r="D730" s="212">
        <v>3</v>
      </c>
      <c r="E730" s="212" t="s">
        <v>448</v>
      </c>
      <c r="F730" s="212" t="str">
        <f t="shared" si="62"/>
        <v>3 - Business Travel</v>
      </c>
      <c r="G730" s="248" t="s">
        <v>307</v>
      </c>
      <c r="H730" s="212" t="s">
        <v>470</v>
      </c>
      <c r="I730" s="212"/>
      <c r="J730" s="212" t="s">
        <v>308</v>
      </c>
      <c r="K730" s="212" t="s">
        <v>471</v>
      </c>
      <c r="L730" s="212" t="s">
        <v>272</v>
      </c>
      <c r="M730" s="215" t="s">
        <v>661</v>
      </c>
      <c r="N730" s="289"/>
      <c r="O730" s="289"/>
      <c r="P730" s="289"/>
      <c r="Q730" s="289"/>
      <c r="R730" s="289"/>
      <c r="S730" s="232">
        <v>4.8849999999999998E-2</v>
      </c>
      <c r="T730" s="388">
        <v>4.5510000000000002E-2</v>
      </c>
      <c r="U730" s="212" t="str">
        <f t="shared" si="63"/>
        <v>km</v>
      </c>
      <c r="V730" s="212" t="str">
        <f t="shared" si="64"/>
        <v>Petrol</v>
      </c>
      <c r="W730" s="218" t="s">
        <v>1244</v>
      </c>
      <c r="X730" s="73" t="s">
        <v>249</v>
      </c>
      <c r="Y730" s="389"/>
      <c r="Z730" s="67"/>
      <c r="AA730" s="67"/>
      <c r="AB730" s="67"/>
      <c r="AC730" s="67"/>
    </row>
    <row r="731" spans="2:29">
      <c r="B731" s="166"/>
      <c r="C731" s="173"/>
      <c r="D731" s="212">
        <v>3</v>
      </c>
      <c r="E731" s="212" t="s">
        <v>448</v>
      </c>
      <c r="F731" s="212" t="str">
        <f t="shared" si="62"/>
        <v>3 - Business Travel</v>
      </c>
      <c r="G731" s="248" t="s">
        <v>307</v>
      </c>
      <c r="H731" s="212" t="s">
        <v>470</v>
      </c>
      <c r="I731" s="212"/>
      <c r="J731" s="212" t="s">
        <v>308</v>
      </c>
      <c r="K731" s="212" t="s">
        <v>472</v>
      </c>
      <c r="L731" s="212" t="s">
        <v>272</v>
      </c>
      <c r="M731" s="215" t="s">
        <v>662</v>
      </c>
      <c r="N731" s="289"/>
      <c r="O731" s="289"/>
      <c r="P731" s="289"/>
      <c r="Q731" s="289"/>
      <c r="R731" s="289"/>
      <c r="S731" s="232">
        <v>3.1320000000000001E-2</v>
      </c>
      <c r="T731" s="388">
        <v>3.109E-2</v>
      </c>
      <c r="U731" s="212" t="str">
        <f t="shared" si="63"/>
        <v>km</v>
      </c>
      <c r="V731" s="212" t="str">
        <f t="shared" si="64"/>
        <v>Hybrid</v>
      </c>
      <c r="W731" s="218" t="s">
        <v>1245</v>
      </c>
      <c r="X731" s="73" t="s">
        <v>249</v>
      </c>
      <c r="Y731" s="389"/>
      <c r="Z731" s="67"/>
      <c r="AA731" s="67"/>
      <c r="AB731" s="67"/>
      <c r="AC731" s="67"/>
    </row>
    <row r="732" spans="2:29">
      <c r="B732" s="166"/>
      <c r="C732" s="173"/>
      <c r="D732" s="212">
        <v>3</v>
      </c>
      <c r="E732" s="212" t="s">
        <v>448</v>
      </c>
      <c r="F732" s="212" t="str">
        <f t="shared" si="62"/>
        <v>3 - Business Travel</v>
      </c>
      <c r="G732" s="248" t="s">
        <v>307</v>
      </c>
      <c r="H732" s="212" t="s">
        <v>470</v>
      </c>
      <c r="I732" s="212"/>
      <c r="J732" s="212" t="s">
        <v>308</v>
      </c>
      <c r="K732" s="212" t="s">
        <v>473</v>
      </c>
      <c r="L732" s="212" t="s">
        <v>272</v>
      </c>
      <c r="M732" s="215" t="s">
        <v>663</v>
      </c>
      <c r="N732" s="289"/>
      <c r="O732" s="289"/>
      <c r="P732" s="289"/>
      <c r="Q732" s="289"/>
      <c r="R732" s="289"/>
      <c r="S732" s="232">
        <v>3.7179999999999998E-2</v>
      </c>
      <c r="T732" s="388">
        <v>3.5889999999999998E-2</v>
      </c>
      <c r="U732" s="212" t="str">
        <f t="shared" si="63"/>
        <v>km</v>
      </c>
      <c r="V732" s="212" t="str">
        <f t="shared" si="64"/>
        <v>CNG</v>
      </c>
      <c r="W732" s="218" t="s">
        <v>1246</v>
      </c>
      <c r="X732" s="73" t="s">
        <v>249</v>
      </c>
      <c r="Y732" s="389"/>
      <c r="Z732" s="67"/>
      <c r="AA732" s="67"/>
      <c r="AB732" s="67"/>
      <c r="AC732" s="67"/>
    </row>
    <row r="733" spans="2:29">
      <c r="B733" s="166"/>
      <c r="C733" s="173"/>
      <c r="D733" s="212">
        <v>3</v>
      </c>
      <c r="E733" s="212" t="s">
        <v>448</v>
      </c>
      <c r="F733" s="212" t="str">
        <f t="shared" si="62"/>
        <v>3 - Business Travel</v>
      </c>
      <c r="G733" s="248" t="s">
        <v>307</v>
      </c>
      <c r="H733" s="212" t="s">
        <v>470</v>
      </c>
      <c r="I733" s="212"/>
      <c r="J733" s="212" t="s">
        <v>308</v>
      </c>
      <c r="K733" s="212" t="s">
        <v>312</v>
      </c>
      <c r="L733" s="212" t="s">
        <v>272</v>
      </c>
      <c r="M733" s="215" t="s">
        <v>664</v>
      </c>
      <c r="N733" s="289"/>
      <c r="O733" s="289"/>
      <c r="P733" s="289"/>
      <c r="Q733" s="289"/>
      <c r="R733" s="289"/>
      <c r="S733" s="232">
        <v>2.3390000000000001E-2</v>
      </c>
      <c r="T733" s="388">
        <v>2.3390000000000001E-2</v>
      </c>
      <c r="U733" s="212" t="str">
        <f t="shared" si="63"/>
        <v>km</v>
      </c>
      <c r="V733" s="212" t="str">
        <f t="shared" si="64"/>
        <v>LPG</v>
      </c>
      <c r="W733" s="218" t="s">
        <v>1247</v>
      </c>
      <c r="X733" s="73" t="s">
        <v>249</v>
      </c>
      <c r="Y733" s="389"/>
      <c r="Z733" s="67"/>
      <c r="AA733" s="67"/>
      <c r="AB733" s="67"/>
      <c r="AC733" s="67"/>
    </row>
    <row r="734" spans="2:29">
      <c r="B734" s="166"/>
      <c r="C734" s="173"/>
      <c r="D734" s="212">
        <v>3</v>
      </c>
      <c r="E734" s="212" t="s">
        <v>448</v>
      </c>
      <c r="F734" s="212" t="str">
        <f t="shared" si="62"/>
        <v>3 - Business Travel</v>
      </c>
      <c r="G734" s="248" t="s">
        <v>307</v>
      </c>
      <c r="H734" s="212" t="s">
        <v>470</v>
      </c>
      <c r="I734" s="212"/>
      <c r="J734" s="212" t="s">
        <v>308</v>
      </c>
      <c r="K734" s="212" t="s">
        <v>474</v>
      </c>
      <c r="L734" s="212" t="s">
        <v>272</v>
      </c>
      <c r="M734" s="215" t="s">
        <v>665</v>
      </c>
      <c r="N734" s="289"/>
      <c r="O734" s="289"/>
      <c r="P734" s="289"/>
      <c r="Q734" s="289"/>
      <c r="R734" s="289"/>
      <c r="S734" s="232">
        <v>4.5080000000000002E-2</v>
      </c>
      <c r="T734" s="388">
        <v>4.3659999999999997E-2</v>
      </c>
      <c r="U734" s="212" t="str">
        <f t="shared" si="63"/>
        <v>km</v>
      </c>
      <c r="V734" s="212" t="str">
        <f t="shared" si="64"/>
        <v>Unknown</v>
      </c>
      <c r="W734" s="218" t="s">
        <v>1248</v>
      </c>
      <c r="X734" s="73" t="s">
        <v>249</v>
      </c>
      <c r="Y734" s="389"/>
      <c r="Z734" s="67"/>
      <c r="AA734" s="67"/>
      <c r="AB734" s="67"/>
      <c r="AC734" s="67"/>
    </row>
    <row r="735" spans="2:29">
      <c r="B735" s="166"/>
      <c r="C735" s="173"/>
      <c r="D735" s="212">
        <v>3</v>
      </c>
      <c r="E735" s="212" t="s">
        <v>448</v>
      </c>
      <c r="F735" s="212" t="str">
        <f t="shared" si="62"/>
        <v>3 - Business Travel</v>
      </c>
      <c r="G735" s="248" t="s">
        <v>307</v>
      </c>
      <c r="H735" s="212" t="s">
        <v>470</v>
      </c>
      <c r="I735" s="212"/>
      <c r="J735" s="212" t="s">
        <v>308</v>
      </c>
      <c r="K735" s="212" t="s">
        <v>475</v>
      </c>
      <c r="L735" s="212" t="s">
        <v>272</v>
      </c>
      <c r="M735" s="215" t="s">
        <v>666</v>
      </c>
      <c r="N735" s="289"/>
      <c r="O735" s="289"/>
      <c r="P735" s="289"/>
      <c r="Q735" s="289"/>
      <c r="R735" s="289"/>
      <c r="S735" s="232">
        <v>2.657E-2</v>
      </c>
      <c r="T735" s="388">
        <v>2.4400000000000002E-2</v>
      </c>
      <c r="U735" s="212" t="str">
        <f t="shared" si="63"/>
        <v>km</v>
      </c>
      <c r="V735" s="212" t="str">
        <f t="shared" si="64"/>
        <v>Plug-in Hybrid Electric Vehicle</v>
      </c>
      <c r="W735" s="218" t="s">
        <v>1249</v>
      </c>
      <c r="X735" s="73" t="s">
        <v>249</v>
      </c>
      <c r="Y735" s="389"/>
      <c r="Z735" s="67"/>
      <c r="AA735" s="67"/>
      <c r="AB735" s="67"/>
      <c r="AC735" s="67"/>
    </row>
    <row r="736" spans="2:29">
      <c r="B736" s="166"/>
      <c r="C736" s="173"/>
      <c r="D736" s="212">
        <v>3</v>
      </c>
      <c r="E736" s="212" t="s">
        <v>448</v>
      </c>
      <c r="F736" s="212" t="str">
        <f t="shared" si="62"/>
        <v>3 - Business Travel</v>
      </c>
      <c r="G736" s="248" t="s">
        <v>307</v>
      </c>
      <c r="H736" s="212" t="s">
        <v>470</v>
      </c>
      <c r="I736" s="212"/>
      <c r="J736" s="212" t="s">
        <v>308</v>
      </c>
      <c r="K736" s="212" t="s">
        <v>476</v>
      </c>
      <c r="L736" s="212" t="s">
        <v>272</v>
      </c>
      <c r="M736" s="215" t="s">
        <v>667</v>
      </c>
      <c r="N736" s="289"/>
      <c r="O736" s="289"/>
      <c r="P736" s="289"/>
      <c r="Q736" s="289"/>
      <c r="R736" s="289"/>
      <c r="S736" s="232">
        <v>1.426E-2</v>
      </c>
      <c r="T736" s="388">
        <v>1.2149999999999999E-2</v>
      </c>
      <c r="U736" s="212" t="str">
        <f t="shared" si="63"/>
        <v>km</v>
      </c>
      <c r="V736" s="212" t="str">
        <f t="shared" si="64"/>
        <v>Battery Electric Vehicle</v>
      </c>
      <c r="W736" s="218" t="s">
        <v>1250</v>
      </c>
      <c r="X736" s="73" t="s">
        <v>249</v>
      </c>
      <c r="Y736" s="389"/>
      <c r="Z736" s="67"/>
      <c r="AA736" s="67"/>
      <c r="AB736" s="67"/>
      <c r="AC736" s="67"/>
    </row>
    <row r="737" spans="2:29">
      <c r="B737" s="166"/>
      <c r="C737" s="173"/>
      <c r="D737" s="212">
        <v>3</v>
      </c>
      <c r="E737" s="212" t="s">
        <v>448</v>
      </c>
      <c r="F737" s="212" t="str">
        <f t="shared" si="62"/>
        <v>3 - Business Travel</v>
      </c>
      <c r="G737" s="248" t="s">
        <v>307</v>
      </c>
      <c r="H737" s="212" t="s">
        <v>477</v>
      </c>
      <c r="I737" s="212"/>
      <c r="J737" s="212" t="s">
        <v>308</v>
      </c>
      <c r="K737" s="212" t="s">
        <v>478</v>
      </c>
      <c r="L737" s="212" t="s">
        <v>347</v>
      </c>
      <c r="M737" s="215" t="s">
        <v>668</v>
      </c>
      <c r="N737" s="289"/>
      <c r="O737" s="289"/>
      <c r="P737" s="289"/>
      <c r="Q737" s="289"/>
      <c r="R737" s="289"/>
      <c r="S737" s="232">
        <v>3.134E-2</v>
      </c>
      <c r="T737" s="388">
        <v>2.9560740857659844E-2</v>
      </c>
      <c r="U737" s="212" t="str">
        <f t="shared" si="63"/>
        <v>km</v>
      </c>
      <c r="V737" s="212" t="str">
        <f t="shared" si="64"/>
        <v>Average motorbike</v>
      </c>
      <c r="W737" s="218" t="s">
        <v>1251</v>
      </c>
      <c r="X737" s="73" t="s">
        <v>249</v>
      </c>
      <c r="Y737" s="389"/>
      <c r="Z737" s="67"/>
      <c r="AA737" s="67"/>
      <c r="AB737" s="67"/>
      <c r="AC737" s="67"/>
    </row>
    <row r="738" spans="2:29">
      <c r="B738" s="166"/>
      <c r="C738" s="173"/>
      <c r="D738" s="212">
        <v>3</v>
      </c>
      <c r="E738" s="212" t="s">
        <v>448</v>
      </c>
      <c r="F738" s="212" t="str">
        <f t="shared" si="62"/>
        <v>3 - Business Travel</v>
      </c>
      <c r="G738" s="248" t="s">
        <v>307</v>
      </c>
      <c r="H738" s="212" t="s">
        <v>262</v>
      </c>
      <c r="I738" s="212"/>
      <c r="J738" s="212" t="s">
        <v>308</v>
      </c>
      <c r="K738" s="212" t="s">
        <v>263</v>
      </c>
      <c r="L738" s="212" t="s">
        <v>262</v>
      </c>
      <c r="M738" s="215" t="s">
        <v>669</v>
      </c>
      <c r="N738" s="289"/>
      <c r="O738" s="289"/>
      <c r="P738" s="289"/>
      <c r="Q738" s="289"/>
      <c r="R738" s="289"/>
      <c r="S738" s="232">
        <v>5.0849999999999999E-2</v>
      </c>
      <c r="T738" s="388">
        <v>5.1761255566710782E-2</v>
      </c>
      <c r="U738" s="212" t="str">
        <f t="shared" si="63"/>
        <v>km</v>
      </c>
      <c r="V738" s="212" t="str">
        <f t="shared" si="64"/>
        <v>Regular taxi</v>
      </c>
      <c r="W738" s="218" t="s">
        <v>1252</v>
      </c>
      <c r="X738" s="73" t="s">
        <v>249</v>
      </c>
      <c r="Y738" s="389"/>
      <c r="Z738" s="67"/>
      <c r="AA738" s="67"/>
      <c r="AB738" s="67"/>
      <c r="AC738" s="67"/>
    </row>
    <row r="739" spans="2:29">
      <c r="B739" s="166"/>
      <c r="C739" s="173"/>
      <c r="D739" s="212">
        <v>3</v>
      </c>
      <c r="E739" s="212" t="s">
        <v>448</v>
      </c>
      <c r="F739" s="212" t="str">
        <f t="shared" si="62"/>
        <v>3 - Business Travel</v>
      </c>
      <c r="G739" s="248" t="s">
        <v>307</v>
      </c>
      <c r="H739" s="212" t="s">
        <v>262</v>
      </c>
      <c r="I739" s="212"/>
      <c r="J739" s="212" t="s">
        <v>308</v>
      </c>
      <c r="K739" s="212" t="s">
        <v>263</v>
      </c>
      <c r="L739" s="212" t="s">
        <v>262</v>
      </c>
      <c r="M739" s="215" t="s">
        <v>669</v>
      </c>
      <c r="N739" s="289"/>
      <c r="O739" s="289"/>
      <c r="P739" s="289"/>
      <c r="Q739" s="289"/>
      <c r="R739" s="289"/>
      <c r="S739" s="232">
        <v>3.6319999999999998E-2</v>
      </c>
      <c r="T739" s="388">
        <v>3.6970871232702762E-2</v>
      </c>
      <c r="U739" s="212" t="str">
        <f t="shared" si="63"/>
        <v>passenger.km</v>
      </c>
      <c r="V739" s="212" t="str">
        <f t="shared" si="64"/>
        <v>Regular taxi</v>
      </c>
      <c r="W739" s="218" t="s">
        <v>1252</v>
      </c>
      <c r="X739" s="73" t="s">
        <v>249</v>
      </c>
      <c r="Y739" s="389"/>
      <c r="Z739" s="67"/>
      <c r="AA739" s="67"/>
      <c r="AB739" s="67"/>
      <c r="AC739" s="67"/>
    </row>
    <row r="740" spans="2:29">
      <c r="B740" s="166"/>
      <c r="C740" s="173"/>
      <c r="D740" s="212">
        <v>3</v>
      </c>
      <c r="E740" s="212" t="s">
        <v>448</v>
      </c>
      <c r="F740" s="212" t="str">
        <f t="shared" si="62"/>
        <v>3 - Business Travel</v>
      </c>
      <c r="G740" s="248" t="s">
        <v>307</v>
      </c>
      <c r="H740" s="212" t="s">
        <v>360</v>
      </c>
      <c r="I740" s="212"/>
      <c r="J740" s="212" t="s">
        <v>308</v>
      </c>
      <c r="K740" s="212" t="s">
        <v>479</v>
      </c>
      <c r="L740" s="212" t="s">
        <v>360</v>
      </c>
      <c r="M740" s="215" t="s">
        <v>670</v>
      </c>
      <c r="N740" s="289"/>
      <c r="O740" s="289"/>
      <c r="P740" s="289"/>
      <c r="Q740" s="289"/>
      <c r="R740" s="289"/>
      <c r="S740" s="232">
        <v>2.494E-2</v>
      </c>
      <c r="T740" s="388">
        <v>2.4930000000000001E-2</v>
      </c>
      <c r="U740" s="212" t="str">
        <f t="shared" si="63"/>
        <v>passenger.km</v>
      </c>
      <c r="V740" s="212" t="str">
        <f t="shared" si="64"/>
        <v>Average local bus</v>
      </c>
      <c r="W740" s="218" t="s">
        <v>1253</v>
      </c>
      <c r="X740" s="73" t="s">
        <v>249</v>
      </c>
      <c r="Y740" s="389"/>
      <c r="Z740" s="67"/>
      <c r="AA740" s="67"/>
      <c r="AB740" s="67"/>
      <c r="AC740" s="67"/>
    </row>
    <row r="741" spans="2:29">
      <c r="B741" s="166"/>
      <c r="C741" s="173"/>
      <c r="D741" s="212">
        <v>3</v>
      </c>
      <c r="E741" s="212" t="s">
        <v>448</v>
      </c>
      <c r="F741" s="212" t="str">
        <f t="shared" si="62"/>
        <v>3 - Business Travel</v>
      </c>
      <c r="G741" s="248" t="s">
        <v>307</v>
      </c>
      <c r="H741" s="212" t="s">
        <v>360</v>
      </c>
      <c r="I741" s="212"/>
      <c r="J741" s="212" t="s">
        <v>308</v>
      </c>
      <c r="K741" s="212" t="s">
        <v>480</v>
      </c>
      <c r="L741" s="212" t="s">
        <v>360</v>
      </c>
      <c r="M741" s="215" t="s">
        <v>671</v>
      </c>
      <c r="N741" s="289"/>
      <c r="O741" s="289"/>
      <c r="P741" s="289"/>
      <c r="Q741" s="289"/>
      <c r="R741" s="289"/>
      <c r="S741" s="232">
        <v>6.4599999999999996E-3</v>
      </c>
      <c r="T741" s="388">
        <v>6.5599999999999999E-3</v>
      </c>
      <c r="U741" s="212" t="str">
        <f t="shared" si="63"/>
        <v>passenger.km</v>
      </c>
      <c r="V741" s="212" t="str">
        <f t="shared" si="64"/>
        <v>Coach</v>
      </c>
      <c r="W741" s="218" t="s">
        <v>1254</v>
      </c>
      <c r="X741" s="73" t="s">
        <v>249</v>
      </c>
      <c r="Y741" s="389"/>
      <c r="Z741" s="67"/>
      <c r="AA741" s="67"/>
      <c r="AB741" s="67"/>
      <c r="AC741" s="67"/>
    </row>
    <row r="742" spans="2:29">
      <c r="B742" s="166"/>
      <c r="C742" s="173"/>
      <c r="D742" s="212">
        <v>3</v>
      </c>
      <c r="E742" s="212" t="s">
        <v>481</v>
      </c>
      <c r="F742" s="212" t="str">
        <f t="shared" si="62"/>
        <v>3 - Employee Commuting</v>
      </c>
      <c r="G742" s="248" t="s">
        <v>307</v>
      </c>
      <c r="H742" s="212" t="s">
        <v>466</v>
      </c>
      <c r="I742" s="212"/>
      <c r="J742" s="212" t="s">
        <v>308</v>
      </c>
      <c r="K742" s="212" t="s">
        <v>467</v>
      </c>
      <c r="L742" s="212" t="s">
        <v>466</v>
      </c>
      <c r="M742" s="215" t="s">
        <v>657</v>
      </c>
      <c r="N742" s="289"/>
      <c r="O742" s="289"/>
      <c r="P742" s="289"/>
      <c r="Q742" s="289"/>
      <c r="R742" s="289"/>
      <c r="S742" s="232">
        <v>4.2100000000000002E-3</v>
      </c>
      <c r="T742" s="388">
        <v>1.8710813959731544E-2</v>
      </c>
      <c r="U742" s="212" t="str">
        <f t="shared" si="63"/>
        <v>passenger.km</v>
      </c>
      <c r="V742" s="212" t="str">
        <f t="shared" si="64"/>
        <v>Foot passenger</v>
      </c>
      <c r="W742" s="218" t="s">
        <v>1240</v>
      </c>
      <c r="X742" s="73" t="s">
        <v>249</v>
      </c>
      <c r="Y742" s="389"/>
      <c r="Z742" s="67"/>
      <c r="AA742" s="67"/>
      <c r="AB742" s="67"/>
      <c r="AC742" s="67"/>
    </row>
    <row r="743" spans="2:29">
      <c r="B743" s="166"/>
      <c r="C743" s="173"/>
      <c r="D743" s="212">
        <v>3</v>
      </c>
      <c r="E743" s="212" t="s">
        <v>481</v>
      </c>
      <c r="F743" s="212" t="str">
        <f t="shared" si="62"/>
        <v>3 - Employee Commuting</v>
      </c>
      <c r="G743" s="248" t="s">
        <v>307</v>
      </c>
      <c r="H743" s="212" t="s">
        <v>466</v>
      </c>
      <c r="I743" s="212"/>
      <c r="J743" s="212" t="s">
        <v>308</v>
      </c>
      <c r="K743" s="212" t="s">
        <v>468</v>
      </c>
      <c r="L743" s="212" t="s">
        <v>466</v>
      </c>
      <c r="M743" s="215" t="s">
        <v>658</v>
      </c>
      <c r="N743" s="289"/>
      <c r="O743" s="289"/>
      <c r="P743" s="289"/>
      <c r="Q743" s="289"/>
      <c r="R743" s="289"/>
      <c r="S743" s="232">
        <v>2.9090000000000001E-2</v>
      </c>
      <c r="T743" s="388">
        <v>0.12932887543624161</v>
      </c>
      <c r="U743" s="212" t="str">
        <f t="shared" si="63"/>
        <v>passenger.km</v>
      </c>
      <c r="V743" s="212" t="str">
        <f t="shared" si="64"/>
        <v>Car passenger</v>
      </c>
      <c r="W743" s="218" t="s">
        <v>1241</v>
      </c>
      <c r="X743" s="73" t="s">
        <v>249</v>
      </c>
      <c r="Y743" s="389"/>
      <c r="Z743" s="67"/>
      <c r="AA743" s="67"/>
      <c r="AB743" s="67"/>
      <c r="AC743" s="67"/>
    </row>
    <row r="744" spans="2:29">
      <c r="B744" s="166"/>
      <c r="C744" s="173"/>
      <c r="D744" s="212">
        <v>3</v>
      </c>
      <c r="E744" s="212" t="s">
        <v>481</v>
      </c>
      <c r="F744" s="212" t="str">
        <f t="shared" si="62"/>
        <v>3 - Employee Commuting</v>
      </c>
      <c r="G744" s="248" t="s">
        <v>307</v>
      </c>
      <c r="H744" s="212" t="s">
        <v>466</v>
      </c>
      <c r="I744" s="212"/>
      <c r="J744" s="212" t="s">
        <v>308</v>
      </c>
      <c r="K744" s="212" t="s">
        <v>469</v>
      </c>
      <c r="L744" s="212" t="s">
        <v>466</v>
      </c>
      <c r="M744" s="215" t="s">
        <v>659</v>
      </c>
      <c r="N744" s="289"/>
      <c r="O744" s="289"/>
      <c r="P744" s="289"/>
      <c r="Q744" s="289"/>
      <c r="R744" s="289"/>
      <c r="S744" s="232">
        <v>2.5350000000000001E-2</v>
      </c>
      <c r="T744" s="388">
        <v>0.11269808080536912</v>
      </c>
      <c r="U744" s="212" t="str">
        <f t="shared" si="63"/>
        <v>passenger.km</v>
      </c>
      <c r="V744" s="212" t="str">
        <f t="shared" si="64"/>
        <v>Average (all passenger)</v>
      </c>
      <c r="W744" s="218" t="s">
        <v>1242</v>
      </c>
      <c r="X744" s="73" t="s">
        <v>249</v>
      </c>
      <c r="Y744" s="389"/>
      <c r="Z744" s="67"/>
      <c r="AA744" s="67"/>
      <c r="AB744" s="67"/>
      <c r="AC744" s="67"/>
    </row>
    <row r="745" spans="2:29">
      <c r="B745" s="166"/>
      <c r="C745" s="173"/>
      <c r="D745" s="212">
        <v>3</v>
      </c>
      <c r="E745" s="212" t="s">
        <v>481</v>
      </c>
      <c r="F745" s="212" t="str">
        <f t="shared" si="62"/>
        <v>3 - Employee Commuting</v>
      </c>
      <c r="G745" s="248" t="s">
        <v>307</v>
      </c>
      <c r="H745" s="212" t="s">
        <v>470</v>
      </c>
      <c r="I745" s="212"/>
      <c r="J745" s="212" t="s">
        <v>308</v>
      </c>
      <c r="K745" s="212" t="s">
        <v>203</v>
      </c>
      <c r="L745" s="212" t="s">
        <v>272</v>
      </c>
      <c r="M745" s="215" t="s">
        <v>660</v>
      </c>
      <c r="N745" s="289"/>
      <c r="O745" s="289"/>
      <c r="P745" s="289"/>
      <c r="Q745" s="289"/>
      <c r="R745" s="289"/>
      <c r="S745" s="232">
        <v>4.104E-2</v>
      </c>
      <c r="T745" s="388">
        <v>4.1450000000000001E-2</v>
      </c>
      <c r="U745" s="212" t="str">
        <f t="shared" si="63"/>
        <v>km</v>
      </c>
      <c r="V745" s="212" t="str">
        <f t="shared" si="64"/>
        <v>Diesel</v>
      </c>
      <c r="W745" s="218" t="s">
        <v>1243</v>
      </c>
      <c r="X745" s="73" t="s">
        <v>249</v>
      </c>
      <c r="Y745" s="389"/>
      <c r="Z745" s="67"/>
      <c r="AA745" s="67"/>
      <c r="AB745" s="67"/>
      <c r="AC745" s="67"/>
    </row>
    <row r="746" spans="2:29">
      <c r="B746" s="166"/>
      <c r="C746" s="173"/>
      <c r="D746" s="212">
        <v>3</v>
      </c>
      <c r="E746" s="212" t="s">
        <v>481</v>
      </c>
      <c r="F746" s="212" t="str">
        <f t="shared" si="62"/>
        <v>3 - Employee Commuting</v>
      </c>
      <c r="G746" s="248" t="s">
        <v>307</v>
      </c>
      <c r="H746" s="212" t="s">
        <v>470</v>
      </c>
      <c r="I746" s="212"/>
      <c r="J746" s="212" t="s">
        <v>308</v>
      </c>
      <c r="K746" s="212" t="s">
        <v>471</v>
      </c>
      <c r="L746" s="212" t="s">
        <v>272</v>
      </c>
      <c r="M746" s="215" t="s">
        <v>661</v>
      </c>
      <c r="N746" s="289"/>
      <c r="O746" s="289"/>
      <c r="P746" s="289"/>
      <c r="Q746" s="289"/>
      <c r="R746" s="289"/>
      <c r="S746" s="232">
        <v>4.8849999999999998E-2</v>
      </c>
      <c r="T746" s="388">
        <v>4.5510000000000002E-2</v>
      </c>
      <c r="U746" s="212" t="str">
        <f t="shared" si="63"/>
        <v>km</v>
      </c>
      <c r="V746" s="212" t="str">
        <f t="shared" si="64"/>
        <v>Petrol</v>
      </c>
      <c r="W746" s="218" t="s">
        <v>1244</v>
      </c>
      <c r="X746" s="73" t="s">
        <v>249</v>
      </c>
      <c r="Y746" s="389"/>
      <c r="Z746" s="67"/>
      <c r="AA746" s="67"/>
      <c r="AB746" s="67"/>
      <c r="AC746" s="67"/>
    </row>
    <row r="747" spans="2:29">
      <c r="B747" s="166"/>
      <c r="C747" s="173"/>
      <c r="D747" s="212">
        <v>3</v>
      </c>
      <c r="E747" s="212" t="s">
        <v>481</v>
      </c>
      <c r="F747" s="212" t="str">
        <f t="shared" si="62"/>
        <v>3 - Employee Commuting</v>
      </c>
      <c r="G747" s="248" t="s">
        <v>307</v>
      </c>
      <c r="H747" s="212" t="s">
        <v>470</v>
      </c>
      <c r="I747" s="212"/>
      <c r="J747" s="212" t="s">
        <v>308</v>
      </c>
      <c r="K747" s="212" t="s">
        <v>472</v>
      </c>
      <c r="L747" s="212" t="s">
        <v>272</v>
      </c>
      <c r="M747" s="215" t="s">
        <v>662</v>
      </c>
      <c r="N747" s="289"/>
      <c r="O747" s="289"/>
      <c r="P747" s="289"/>
      <c r="Q747" s="289"/>
      <c r="R747" s="289"/>
      <c r="S747" s="232">
        <v>3.1320000000000001E-2</v>
      </c>
      <c r="T747" s="388">
        <v>3.109E-2</v>
      </c>
      <c r="U747" s="212" t="str">
        <f t="shared" si="63"/>
        <v>km</v>
      </c>
      <c r="V747" s="212" t="str">
        <f t="shared" si="64"/>
        <v>Hybrid</v>
      </c>
      <c r="W747" s="218" t="s">
        <v>1245</v>
      </c>
      <c r="X747" s="73" t="s">
        <v>249</v>
      </c>
      <c r="Y747" s="389"/>
      <c r="Z747" s="67"/>
      <c r="AA747" s="67"/>
      <c r="AB747" s="67"/>
      <c r="AC747" s="67"/>
    </row>
    <row r="748" spans="2:29">
      <c r="B748" s="166"/>
      <c r="C748" s="173"/>
      <c r="D748" s="212">
        <v>3</v>
      </c>
      <c r="E748" s="212" t="s">
        <v>481</v>
      </c>
      <c r="F748" s="212" t="str">
        <f t="shared" si="62"/>
        <v>3 - Employee Commuting</v>
      </c>
      <c r="G748" s="248" t="s">
        <v>307</v>
      </c>
      <c r="H748" s="212" t="s">
        <v>470</v>
      </c>
      <c r="I748" s="212"/>
      <c r="J748" s="212" t="s">
        <v>308</v>
      </c>
      <c r="K748" s="212" t="s">
        <v>473</v>
      </c>
      <c r="L748" s="212" t="s">
        <v>272</v>
      </c>
      <c r="M748" s="215" t="s">
        <v>663</v>
      </c>
      <c r="N748" s="289"/>
      <c r="O748" s="289"/>
      <c r="P748" s="289"/>
      <c r="Q748" s="289"/>
      <c r="R748" s="289"/>
      <c r="S748" s="232">
        <v>3.7179999999999998E-2</v>
      </c>
      <c r="T748" s="388">
        <v>3.5889999999999998E-2</v>
      </c>
      <c r="U748" s="212" t="str">
        <f t="shared" si="63"/>
        <v>km</v>
      </c>
      <c r="V748" s="212" t="str">
        <f t="shared" si="64"/>
        <v>CNG</v>
      </c>
      <c r="W748" s="218" t="s">
        <v>1246</v>
      </c>
      <c r="X748" s="73" t="s">
        <v>249</v>
      </c>
      <c r="Y748" s="389"/>
      <c r="Z748" s="67"/>
      <c r="AA748" s="67"/>
      <c r="AB748" s="67"/>
      <c r="AC748" s="67"/>
    </row>
    <row r="749" spans="2:29">
      <c r="B749" s="166"/>
      <c r="C749" s="173"/>
      <c r="D749" s="212">
        <v>3</v>
      </c>
      <c r="E749" s="212" t="s">
        <v>481</v>
      </c>
      <c r="F749" s="212" t="str">
        <f t="shared" si="62"/>
        <v>3 - Employee Commuting</v>
      </c>
      <c r="G749" s="248" t="s">
        <v>307</v>
      </c>
      <c r="H749" s="212" t="s">
        <v>470</v>
      </c>
      <c r="I749" s="212"/>
      <c r="J749" s="212" t="s">
        <v>308</v>
      </c>
      <c r="K749" s="212" t="s">
        <v>312</v>
      </c>
      <c r="L749" s="212" t="s">
        <v>272</v>
      </c>
      <c r="M749" s="215" t="s">
        <v>664</v>
      </c>
      <c r="N749" s="289"/>
      <c r="O749" s="289"/>
      <c r="P749" s="289"/>
      <c r="Q749" s="289"/>
      <c r="R749" s="289"/>
      <c r="S749" s="232">
        <v>2.3390000000000001E-2</v>
      </c>
      <c r="T749" s="388">
        <v>2.3390000000000001E-2</v>
      </c>
      <c r="U749" s="212" t="str">
        <f t="shared" si="63"/>
        <v>km</v>
      </c>
      <c r="V749" s="212" t="str">
        <f t="shared" si="64"/>
        <v>LPG</v>
      </c>
      <c r="W749" s="218" t="s">
        <v>1247</v>
      </c>
      <c r="X749" s="73" t="s">
        <v>249</v>
      </c>
      <c r="Y749" s="389"/>
      <c r="Z749" s="67"/>
      <c r="AA749" s="67"/>
      <c r="AB749" s="67"/>
      <c r="AC749" s="67"/>
    </row>
    <row r="750" spans="2:29">
      <c r="B750" s="166"/>
      <c r="C750" s="173"/>
      <c r="D750" s="212">
        <v>3</v>
      </c>
      <c r="E750" s="212" t="s">
        <v>481</v>
      </c>
      <c r="F750" s="212" t="str">
        <f t="shared" si="62"/>
        <v>3 - Employee Commuting</v>
      </c>
      <c r="G750" s="248" t="s">
        <v>307</v>
      </c>
      <c r="H750" s="212" t="s">
        <v>470</v>
      </c>
      <c r="I750" s="212"/>
      <c r="J750" s="212" t="s">
        <v>308</v>
      </c>
      <c r="K750" s="212" t="s">
        <v>474</v>
      </c>
      <c r="L750" s="212" t="s">
        <v>272</v>
      </c>
      <c r="M750" s="215" t="s">
        <v>665</v>
      </c>
      <c r="N750" s="289"/>
      <c r="O750" s="289"/>
      <c r="P750" s="289"/>
      <c r="Q750" s="289"/>
      <c r="R750" s="289"/>
      <c r="S750" s="232">
        <v>4.5080000000000002E-2</v>
      </c>
      <c r="T750" s="388">
        <v>4.3659999999999997E-2</v>
      </c>
      <c r="U750" s="212" t="str">
        <f t="shared" si="63"/>
        <v>km</v>
      </c>
      <c r="V750" s="212" t="str">
        <f t="shared" si="64"/>
        <v>Unknown</v>
      </c>
      <c r="W750" s="218" t="s">
        <v>1248</v>
      </c>
      <c r="X750" s="73" t="s">
        <v>249</v>
      </c>
      <c r="Y750" s="389"/>
      <c r="Z750" s="67"/>
      <c r="AA750" s="67"/>
      <c r="AB750" s="67"/>
      <c r="AC750" s="67"/>
    </row>
    <row r="751" spans="2:29">
      <c r="B751" s="166"/>
      <c r="C751" s="173"/>
      <c r="D751" s="212">
        <v>3</v>
      </c>
      <c r="E751" s="212" t="s">
        <v>481</v>
      </c>
      <c r="F751" s="212" t="str">
        <f t="shared" si="62"/>
        <v>3 - Employee Commuting</v>
      </c>
      <c r="G751" s="248" t="s">
        <v>307</v>
      </c>
      <c r="H751" s="212" t="s">
        <v>470</v>
      </c>
      <c r="I751" s="212"/>
      <c r="J751" s="212" t="s">
        <v>308</v>
      </c>
      <c r="K751" s="212" t="s">
        <v>475</v>
      </c>
      <c r="L751" s="212" t="s">
        <v>272</v>
      </c>
      <c r="M751" s="215" t="s">
        <v>666</v>
      </c>
      <c r="N751" s="289"/>
      <c r="O751" s="289"/>
      <c r="P751" s="289"/>
      <c r="Q751" s="289"/>
      <c r="R751" s="289"/>
      <c r="S751" s="232">
        <v>2.657E-2</v>
      </c>
      <c r="T751" s="388">
        <v>2.4400000000000002E-2</v>
      </c>
      <c r="U751" s="212" t="str">
        <f t="shared" ref="U751:U757" si="65">U392</f>
        <v>km</v>
      </c>
      <c r="V751" s="212" t="str">
        <f t="shared" si="64"/>
        <v>Plug-in Hybrid Electric Vehicle</v>
      </c>
      <c r="W751" s="218" t="s">
        <v>1249</v>
      </c>
      <c r="X751" s="73" t="s">
        <v>249</v>
      </c>
      <c r="Y751" s="389"/>
      <c r="Z751" s="67"/>
      <c r="AA751" s="67"/>
      <c r="AB751" s="67"/>
      <c r="AC751" s="67"/>
    </row>
    <row r="752" spans="2:29">
      <c r="B752" s="166"/>
      <c r="C752" s="173"/>
      <c r="D752" s="212">
        <v>3</v>
      </c>
      <c r="E752" s="212" t="s">
        <v>481</v>
      </c>
      <c r="F752" s="212" t="str">
        <f t="shared" si="62"/>
        <v>3 - Employee Commuting</v>
      </c>
      <c r="G752" s="248" t="s">
        <v>307</v>
      </c>
      <c r="H752" s="212" t="s">
        <v>470</v>
      </c>
      <c r="I752" s="212"/>
      <c r="J752" s="212" t="s">
        <v>308</v>
      </c>
      <c r="K752" s="212" t="s">
        <v>476</v>
      </c>
      <c r="L752" s="212" t="s">
        <v>272</v>
      </c>
      <c r="M752" s="215" t="s">
        <v>667</v>
      </c>
      <c r="N752" s="289"/>
      <c r="O752" s="289"/>
      <c r="P752" s="289"/>
      <c r="Q752" s="289"/>
      <c r="R752" s="289"/>
      <c r="S752" s="232">
        <v>1.426E-2</v>
      </c>
      <c r="T752" s="388">
        <v>1.2149999999999999E-2</v>
      </c>
      <c r="U752" s="212" t="str">
        <f t="shared" si="65"/>
        <v>km</v>
      </c>
      <c r="V752" s="212" t="str">
        <f t="shared" ref="V752:V757" si="66">K752</f>
        <v>Battery Electric Vehicle</v>
      </c>
      <c r="W752" s="218" t="s">
        <v>1250</v>
      </c>
      <c r="X752" s="73" t="s">
        <v>249</v>
      </c>
      <c r="Y752" s="389"/>
      <c r="Z752" s="67"/>
      <c r="AA752" s="67"/>
      <c r="AB752" s="67"/>
      <c r="AC752" s="67"/>
    </row>
    <row r="753" spans="2:29">
      <c r="B753" s="166"/>
      <c r="C753" s="173"/>
      <c r="D753" s="212">
        <v>3</v>
      </c>
      <c r="E753" s="212" t="s">
        <v>481</v>
      </c>
      <c r="F753" s="212" t="str">
        <f t="shared" si="62"/>
        <v>3 - Employee Commuting</v>
      </c>
      <c r="G753" s="248" t="s">
        <v>307</v>
      </c>
      <c r="H753" s="212" t="s">
        <v>477</v>
      </c>
      <c r="I753" s="212"/>
      <c r="J753" s="212" t="s">
        <v>308</v>
      </c>
      <c r="K753" s="212" t="s">
        <v>478</v>
      </c>
      <c r="L753" s="212" t="s">
        <v>347</v>
      </c>
      <c r="M753" s="215" t="s">
        <v>668</v>
      </c>
      <c r="N753" s="289"/>
      <c r="O753" s="289"/>
      <c r="P753" s="289"/>
      <c r="Q753" s="289"/>
      <c r="R753" s="289"/>
      <c r="S753" s="232">
        <v>3.134E-2</v>
      </c>
      <c r="T753" s="388">
        <v>2.9560740857659844E-2</v>
      </c>
      <c r="U753" s="212" t="str">
        <f t="shared" si="65"/>
        <v>km</v>
      </c>
      <c r="V753" s="212" t="str">
        <f t="shared" si="66"/>
        <v>Average motorbike</v>
      </c>
      <c r="W753" s="218" t="s">
        <v>1251</v>
      </c>
      <c r="X753" s="73" t="s">
        <v>249</v>
      </c>
      <c r="Y753" s="389"/>
      <c r="Z753" s="67"/>
      <c r="AA753" s="67"/>
      <c r="AB753" s="67"/>
      <c r="AC753" s="67"/>
    </row>
    <row r="754" spans="2:29">
      <c r="B754" s="166"/>
      <c r="C754" s="173"/>
      <c r="D754" s="212">
        <v>3</v>
      </c>
      <c r="E754" s="212" t="s">
        <v>481</v>
      </c>
      <c r="F754" s="212" t="str">
        <f t="shared" ref="F754:F769" si="67">D754&amp;" - "&amp;E754</f>
        <v>3 - Employee Commuting</v>
      </c>
      <c r="G754" s="248" t="s">
        <v>307</v>
      </c>
      <c r="H754" s="212" t="s">
        <v>262</v>
      </c>
      <c r="I754" s="212"/>
      <c r="J754" s="212" t="s">
        <v>308</v>
      </c>
      <c r="K754" s="212" t="s">
        <v>263</v>
      </c>
      <c r="L754" s="212" t="s">
        <v>262</v>
      </c>
      <c r="M754" s="215" t="s">
        <v>669</v>
      </c>
      <c r="N754" s="289"/>
      <c r="O754" s="289"/>
      <c r="P754" s="289"/>
      <c r="Q754" s="289"/>
      <c r="R754" s="289"/>
      <c r="S754" s="232">
        <v>5.0849999999999999E-2</v>
      </c>
      <c r="T754" s="388">
        <v>5.1761255566710782E-2</v>
      </c>
      <c r="U754" s="212" t="str">
        <f t="shared" si="65"/>
        <v>km</v>
      </c>
      <c r="V754" s="212" t="str">
        <f t="shared" si="66"/>
        <v>Regular taxi</v>
      </c>
      <c r="W754" s="218" t="s">
        <v>1252</v>
      </c>
      <c r="X754" s="73" t="s">
        <v>249</v>
      </c>
      <c r="Y754" s="389"/>
      <c r="Z754" s="67"/>
      <c r="AA754" s="67"/>
      <c r="AB754" s="67"/>
      <c r="AC754" s="67"/>
    </row>
    <row r="755" spans="2:29">
      <c r="B755" s="166"/>
      <c r="C755" s="173"/>
      <c r="D755" s="212">
        <v>3</v>
      </c>
      <c r="E755" s="212" t="s">
        <v>481</v>
      </c>
      <c r="F755" s="212" t="str">
        <f t="shared" si="67"/>
        <v>3 - Employee Commuting</v>
      </c>
      <c r="G755" s="248" t="s">
        <v>307</v>
      </c>
      <c r="H755" s="212" t="s">
        <v>262</v>
      </c>
      <c r="I755" s="212"/>
      <c r="J755" s="212" t="s">
        <v>308</v>
      </c>
      <c r="K755" s="212" t="s">
        <v>263</v>
      </c>
      <c r="L755" s="212" t="s">
        <v>262</v>
      </c>
      <c r="M755" s="215" t="s">
        <v>669</v>
      </c>
      <c r="N755" s="289"/>
      <c r="O755" s="289"/>
      <c r="P755" s="289"/>
      <c r="Q755" s="289"/>
      <c r="R755" s="289"/>
      <c r="S755" s="232">
        <v>3.6319999999999998E-2</v>
      </c>
      <c r="T755" s="388">
        <v>3.6970871232702762E-2</v>
      </c>
      <c r="U755" s="212" t="str">
        <f t="shared" si="65"/>
        <v>passenger.km</v>
      </c>
      <c r="V755" s="212" t="str">
        <f t="shared" si="66"/>
        <v>Regular taxi</v>
      </c>
      <c r="W755" s="218" t="s">
        <v>1252</v>
      </c>
      <c r="X755" s="73" t="s">
        <v>249</v>
      </c>
      <c r="Y755" s="389"/>
      <c r="Z755" s="67"/>
      <c r="AA755" s="67"/>
      <c r="AB755" s="67"/>
      <c r="AC755" s="67"/>
    </row>
    <row r="756" spans="2:29">
      <c r="B756" s="166"/>
      <c r="C756" s="173"/>
      <c r="D756" s="212">
        <v>3</v>
      </c>
      <c r="E756" s="212" t="s">
        <v>481</v>
      </c>
      <c r="F756" s="212" t="str">
        <f t="shared" si="67"/>
        <v>3 - Employee Commuting</v>
      </c>
      <c r="G756" s="248" t="s">
        <v>307</v>
      </c>
      <c r="H756" s="212" t="s">
        <v>360</v>
      </c>
      <c r="I756" s="212"/>
      <c r="J756" s="212" t="s">
        <v>308</v>
      </c>
      <c r="K756" s="212" t="s">
        <v>479</v>
      </c>
      <c r="L756" s="212" t="s">
        <v>360</v>
      </c>
      <c r="M756" s="215" t="s">
        <v>670</v>
      </c>
      <c r="N756" s="289"/>
      <c r="O756" s="289"/>
      <c r="P756" s="289"/>
      <c r="Q756" s="289"/>
      <c r="R756" s="289"/>
      <c r="S756" s="232">
        <v>2.494E-2</v>
      </c>
      <c r="T756" s="388">
        <v>2.4930000000000001E-2</v>
      </c>
      <c r="U756" s="212" t="str">
        <f t="shared" si="65"/>
        <v>passenger.km</v>
      </c>
      <c r="V756" s="212" t="str">
        <f t="shared" si="66"/>
        <v>Average local bus</v>
      </c>
      <c r="W756" s="218" t="s">
        <v>1253</v>
      </c>
      <c r="X756" s="73" t="s">
        <v>249</v>
      </c>
      <c r="Y756" s="389"/>
      <c r="Z756" s="67"/>
      <c r="AA756" s="67"/>
      <c r="AB756" s="67"/>
      <c r="AC756" s="67"/>
    </row>
    <row r="757" spans="2:29">
      <c r="B757" s="166"/>
      <c r="C757" s="173"/>
      <c r="D757" s="212">
        <v>3</v>
      </c>
      <c r="E757" s="212" t="s">
        <v>481</v>
      </c>
      <c r="F757" s="212" t="str">
        <f t="shared" si="67"/>
        <v>3 - Employee Commuting</v>
      </c>
      <c r="G757" s="248" t="s">
        <v>307</v>
      </c>
      <c r="H757" s="212" t="s">
        <v>360</v>
      </c>
      <c r="I757" s="212"/>
      <c r="J757" s="212" t="s">
        <v>308</v>
      </c>
      <c r="K757" s="212" t="s">
        <v>480</v>
      </c>
      <c r="L757" s="212" t="s">
        <v>360</v>
      </c>
      <c r="M757" s="215" t="s">
        <v>671</v>
      </c>
      <c r="N757" s="289"/>
      <c r="O757" s="289"/>
      <c r="P757" s="289"/>
      <c r="Q757" s="289"/>
      <c r="R757" s="289"/>
      <c r="S757" s="232">
        <v>6.4599999999999996E-3</v>
      </c>
      <c r="T757" s="388">
        <v>6.5599999999999999E-3</v>
      </c>
      <c r="U757" s="212" t="str">
        <f t="shared" si="65"/>
        <v>passenger.km</v>
      </c>
      <c r="V757" s="212" t="str">
        <f t="shared" si="66"/>
        <v>Coach</v>
      </c>
      <c r="W757" s="218" t="s">
        <v>1254</v>
      </c>
      <c r="X757" s="73" t="s">
        <v>249</v>
      </c>
      <c r="Y757" s="389"/>
      <c r="Z757" s="67"/>
      <c r="AA757" s="67"/>
      <c r="AB757" s="67"/>
      <c r="AC757" s="67"/>
    </row>
    <row r="758" spans="2:29">
      <c r="B758" s="166"/>
      <c r="C758" s="173"/>
      <c r="D758" s="212">
        <v>3</v>
      </c>
      <c r="E758" s="212" t="s">
        <v>405</v>
      </c>
      <c r="F758" s="212" t="str">
        <f t="shared" ref="F758:F761" si="68">D758&amp;" - "&amp;E758</f>
        <v>3 - Purchased Electricity</v>
      </c>
      <c r="G758" s="248" t="s">
        <v>307</v>
      </c>
      <c r="H758" s="212" t="s">
        <v>232</v>
      </c>
      <c r="I758" s="212"/>
      <c r="J758" s="212" t="s">
        <v>308</v>
      </c>
      <c r="K758" s="212" t="s">
        <v>406</v>
      </c>
      <c r="L758" s="212" t="s">
        <v>232</v>
      </c>
      <c r="M758" s="215" t="str">
        <f t="shared" ref="M758:M761" si="69">K758&amp;L758</f>
        <v>Electricity UseMeginøki</v>
      </c>
      <c r="N758" s="289"/>
      <c r="O758" s="289"/>
      <c r="P758" s="289"/>
      <c r="Q758" s="289"/>
      <c r="R758" s="289"/>
      <c r="S758" s="242">
        <f t="shared" ref="S758:T761" si="70">S762+S766</f>
        <v>0.12318444136841492</v>
      </c>
      <c r="T758" s="387">
        <f t="shared" si="70"/>
        <v>0.12318444136841492</v>
      </c>
      <c r="U758" s="212" t="s">
        <v>204</v>
      </c>
      <c r="V758" s="212" t="s">
        <v>672</v>
      </c>
      <c r="W758" s="218" t="s">
        <v>673</v>
      </c>
      <c r="X758" s="73"/>
      <c r="Y758" s="67"/>
      <c r="Z758" s="67"/>
      <c r="AA758" s="67"/>
      <c r="AB758" s="67"/>
      <c r="AC758" s="67"/>
    </row>
    <row r="759" spans="2:29">
      <c r="B759" s="166"/>
      <c r="C759" s="173"/>
      <c r="D759" s="212">
        <v>3</v>
      </c>
      <c r="E759" s="212" t="s">
        <v>405</v>
      </c>
      <c r="F759" s="212" t="str">
        <f t="shared" si="68"/>
        <v>3 - Purchased Electricity</v>
      </c>
      <c r="G759" s="248" t="s">
        <v>307</v>
      </c>
      <c r="H759" s="212" t="s">
        <v>1304</v>
      </c>
      <c r="I759" s="212"/>
      <c r="J759" s="212" t="s">
        <v>308</v>
      </c>
      <c r="K759" s="212" t="s">
        <v>406</v>
      </c>
      <c r="L759" s="212" t="s">
        <v>1304</v>
      </c>
      <c r="M759" s="215" t="str">
        <f t="shared" si="69"/>
        <v>Electricity UseSuðuroy</v>
      </c>
      <c r="N759" s="289"/>
      <c r="O759" s="289"/>
      <c r="P759" s="289"/>
      <c r="Q759" s="289"/>
      <c r="R759" s="289"/>
      <c r="S759" s="242">
        <f t="shared" si="70"/>
        <v>0.15907851737474291</v>
      </c>
      <c r="T759" s="387">
        <f t="shared" si="70"/>
        <v>0.15907851737474291</v>
      </c>
      <c r="U759" s="212" t="s">
        <v>204</v>
      </c>
      <c r="V759" s="212" t="s">
        <v>672</v>
      </c>
      <c r="W759" s="218" t="s">
        <v>673</v>
      </c>
      <c r="X759" s="73"/>
      <c r="Y759" s="67"/>
      <c r="Z759" s="67"/>
      <c r="AA759" s="67"/>
      <c r="AB759" s="67"/>
      <c r="AC759" s="67"/>
    </row>
    <row r="760" spans="2:29">
      <c r="B760" s="166"/>
      <c r="C760" s="173"/>
      <c r="D760" s="212">
        <v>3</v>
      </c>
      <c r="E760" s="212" t="s">
        <v>405</v>
      </c>
      <c r="F760" s="212" t="str">
        <f t="shared" si="68"/>
        <v>3 - Purchased Electricity</v>
      </c>
      <c r="G760" s="248" t="s">
        <v>307</v>
      </c>
      <c r="H760" s="212" t="s">
        <v>408</v>
      </c>
      <c r="I760" s="212"/>
      <c r="J760" s="212" t="s">
        <v>308</v>
      </c>
      <c r="K760" s="212" t="s">
        <v>406</v>
      </c>
      <c r="L760" s="212" t="s">
        <v>408</v>
      </c>
      <c r="M760" s="215" t="str">
        <f t="shared" si="69"/>
        <v>Electricity UseSmaller Islands</v>
      </c>
      <c r="N760" s="289"/>
      <c r="O760" s="289"/>
      <c r="P760" s="289"/>
      <c r="Q760" s="289"/>
      <c r="R760" s="289"/>
      <c r="S760" s="242">
        <f t="shared" si="70"/>
        <v>0.21149438515886287</v>
      </c>
      <c r="T760" s="387">
        <f t="shared" si="70"/>
        <v>0.21149438515886287</v>
      </c>
      <c r="U760" s="212" t="s">
        <v>204</v>
      </c>
      <c r="V760" s="212" t="s">
        <v>672</v>
      </c>
      <c r="W760" s="218" t="s">
        <v>673</v>
      </c>
      <c r="X760" s="73"/>
      <c r="Y760" s="67"/>
      <c r="Z760" s="67"/>
      <c r="AA760" s="67"/>
      <c r="AB760" s="67"/>
      <c r="AC760" s="67"/>
    </row>
    <row r="761" spans="2:29">
      <c r="B761" s="166"/>
      <c r="C761" s="173"/>
      <c r="D761" s="212">
        <v>3</v>
      </c>
      <c r="E761" s="212" t="s">
        <v>405</v>
      </c>
      <c r="F761" s="212" t="str">
        <f t="shared" si="68"/>
        <v>3 - Purchased Electricity</v>
      </c>
      <c r="G761" s="248" t="s">
        <v>307</v>
      </c>
      <c r="H761" s="212" t="s">
        <v>409</v>
      </c>
      <c r="I761" s="212"/>
      <c r="J761" s="212" t="s">
        <v>308</v>
      </c>
      <c r="K761" s="212" t="s">
        <v>406</v>
      </c>
      <c r="L761" s="212" t="s">
        <v>234</v>
      </c>
      <c r="M761" s="215" t="str">
        <f t="shared" si="69"/>
        <v>Electricity UseDefault (Faroes Weighted Average)</v>
      </c>
      <c r="N761" s="289"/>
      <c r="O761" s="289"/>
      <c r="P761" s="289"/>
      <c r="Q761" s="289"/>
      <c r="R761" s="289"/>
      <c r="S761" s="242">
        <f t="shared" si="70"/>
        <v>0.12619979603810641</v>
      </c>
      <c r="T761" s="387">
        <f t="shared" si="70"/>
        <v>0.12619979603810641</v>
      </c>
      <c r="U761" s="212" t="s">
        <v>204</v>
      </c>
      <c r="V761" s="212" t="s">
        <v>672</v>
      </c>
      <c r="W761" s="218" t="s">
        <v>673</v>
      </c>
      <c r="X761" s="73"/>
      <c r="Y761" s="67"/>
      <c r="Z761" s="67"/>
      <c r="AA761" s="67"/>
      <c r="AB761" s="67"/>
      <c r="AC761" s="67"/>
    </row>
    <row r="762" spans="2:29">
      <c r="B762" s="166"/>
      <c r="C762" s="173"/>
      <c r="D762" s="212">
        <v>3</v>
      </c>
      <c r="E762" s="212" t="s">
        <v>405</v>
      </c>
      <c r="F762" s="212" t="str">
        <f t="shared" si="67"/>
        <v>3 - Purchased Electricity</v>
      </c>
      <c r="G762" s="248" t="s">
        <v>307</v>
      </c>
      <c r="H762" s="212" t="s">
        <v>232</v>
      </c>
      <c r="I762" s="212"/>
      <c r="J762" s="212" t="s">
        <v>308</v>
      </c>
      <c r="K762" s="212" t="s">
        <v>674</v>
      </c>
      <c r="L762" s="212" t="s">
        <v>232</v>
      </c>
      <c r="M762" s="215" t="str">
        <f t="shared" ref="M762:M769" si="71">K762&amp;L762</f>
        <v>Electricity Use - Transmission and DistributionMeginøki</v>
      </c>
      <c r="N762" s="289"/>
      <c r="O762" s="289"/>
      <c r="P762" s="289"/>
      <c r="Q762" s="289"/>
      <c r="R762" s="289"/>
      <c r="S762" s="290">
        <v>3.3886728113515105E-2</v>
      </c>
      <c r="T762" s="387">
        <v>3.3886728113515105E-2</v>
      </c>
      <c r="U762" s="212" t="s">
        <v>204</v>
      </c>
      <c r="V762" s="212" t="s">
        <v>672</v>
      </c>
      <c r="W762" s="218" t="s">
        <v>673</v>
      </c>
      <c r="X762" s="73"/>
      <c r="Y762" s="67"/>
      <c r="Z762" s="67"/>
      <c r="AA762" s="67"/>
      <c r="AB762" s="67"/>
      <c r="AC762" s="67"/>
    </row>
    <row r="763" spans="2:29">
      <c r="B763" s="166"/>
      <c r="C763" s="173"/>
      <c r="D763" s="212">
        <v>3</v>
      </c>
      <c r="E763" s="212" t="s">
        <v>405</v>
      </c>
      <c r="F763" s="212" t="str">
        <f t="shared" si="67"/>
        <v>3 - Purchased Electricity</v>
      </c>
      <c r="G763" s="248" t="s">
        <v>307</v>
      </c>
      <c r="H763" s="212" t="s">
        <v>1304</v>
      </c>
      <c r="I763" s="212"/>
      <c r="J763" s="212" t="s">
        <v>308</v>
      </c>
      <c r="K763" s="212" t="s">
        <v>674</v>
      </c>
      <c r="L763" s="212" t="s">
        <v>1304</v>
      </c>
      <c r="M763" s="215" t="str">
        <f t="shared" si="71"/>
        <v>Electricity Use - Transmission and DistributionSuðuroy</v>
      </c>
      <c r="N763" s="289"/>
      <c r="O763" s="289"/>
      <c r="P763" s="289"/>
      <c r="Q763" s="289"/>
      <c r="R763" s="289"/>
      <c r="S763" s="290">
        <v>5.5911822872385573E-2</v>
      </c>
      <c r="T763" s="387">
        <v>5.5911822872385573E-2</v>
      </c>
      <c r="U763" s="212" t="s">
        <v>204</v>
      </c>
      <c r="V763" s="212" t="s">
        <v>672</v>
      </c>
      <c r="W763" s="218" t="s">
        <v>673</v>
      </c>
      <c r="X763" s="73"/>
      <c r="Y763" s="67"/>
      <c r="Z763" s="67"/>
      <c r="AA763" s="67"/>
      <c r="AB763" s="67"/>
      <c r="AC763" s="67"/>
    </row>
    <row r="764" spans="2:29">
      <c r="B764" s="166"/>
      <c r="C764" s="173"/>
      <c r="D764" s="212">
        <v>3</v>
      </c>
      <c r="E764" s="212" t="s">
        <v>405</v>
      </c>
      <c r="F764" s="212" t="str">
        <f t="shared" si="67"/>
        <v>3 - Purchased Electricity</v>
      </c>
      <c r="G764" s="248" t="s">
        <v>307</v>
      </c>
      <c r="H764" s="212" t="s">
        <v>408</v>
      </c>
      <c r="I764" s="212"/>
      <c r="J764" s="212" t="s">
        <v>308</v>
      </c>
      <c r="K764" s="212" t="s">
        <v>674</v>
      </c>
      <c r="L764" s="212" t="s">
        <v>408</v>
      </c>
      <c r="M764" s="215" t="str">
        <f t="shared" si="71"/>
        <v>Electricity Use - Transmission and DistributionSmaller Islands</v>
      </c>
      <c r="N764" s="289"/>
      <c r="O764" s="289"/>
      <c r="P764" s="289"/>
      <c r="Q764" s="289"/>
      <c r="R764" s="289"/>
      <c r="S764" s="290">
        <v>4.4280132065217387E-2</v>
      </c>
      <c r="T764" s="387">
        <v>4.4280132065217387E-2</v>
      </c>
      <c r="U764" s="212" t="s">
        <v>204</v>
      </c>
      <c r="V764" s="212" t="s">
        <v>672</v>
      </c>
      <c r="W764" s="218" t="s">
        <v>673</v>
      </c>
      <c r="X764" s="73"/>
      <c r="Y764" s="67"/>
      <c r="Z764" s="67"/>
      <c r="AA764" s="67"/>
      <c r="AB764" s="67"/>
      <c r="AC764" s="67"/>
    </row>
    <row r="765" spans="2:29">
      <c r="B765" s="166"/>
      <c r="C765" s="173"/>
      <c r="D765" s="212">
        <v>3</v>
      </c>
      <c r="E765" s="212" t="s">
        <v>405</v>
      </c>
      <c r="F765" s="212" t="str">
        <f t="shared" si="67"/>
        <v>3 - Purchased Electricity</v>
      </c>
      <c r="G765" s="248" t="s">
        <v>307</v>
      </c>
      <c r="H765" s="212" t="s">
        <v>409</v>
      </c>
      <c r="I765" s="212"/>
      <c r="J765" s="212" t="s">
        <v>308</v>
      </c>
      <c r="K765" s="212" t="s">
        <v>674</v>
      </c>
      <c r="L765" s="212" t="s">
        <v>234</v>
      </c>
      <c r="M765" s="215" t="str">
        <f t="shared" si="71"/>
        <v>Electricity Use - Transmission and DistributionDefault (Faroes Weighted Average)</v>
      </c>
      <c r="N765" s="289"/>
      <c r="O765" s="289"/>
      <c r="P765" s="289"/>
      <c r="Q765" s="289"/>
      <c r="R765" s="289"/>
      <c r="S765" s="290">
        <v>3.5612954744165058E-2</v>
      </c>
      <c r="T765" s="387">
        <v>3.5612954744165058E-2</v>
      </c>
      <c r="U765" s="212" t="s">
        <v>204</v>
      </c>
      <c r="V765" s="212" t="s">
        <v>672</v>
      </c>
      <c r="W765" s="218" t="s">
        <v>673</v>
      </c>
      <c r="X765" s="73"/>
      <c r="Y765" s="67"/>
      <c r="Z765" s="67"/>
      <c r="AA765" s="67"/>
      <c r="AB765" s="67"/>
      <c r="AC765" s="67"/>
    </row>
    <row r="766" spans="2:29">
      <c r="B766" s="166"/>
      <c r="C766" s="173"/>
      <c r="D766" s="212">
        <v>3</v>
      </c>
      <c r="E766" s="212" t="s">
        <v>405</v>
      </c>
      <c r="F766" s="212" t="str">
        <f t="shared" si="67"/>
        <v>3 - Purchased Electricity</v>
      </c>
      <c r="G766" s="248" t="s">
        <v>307</v>
      </c>
      <c r="H766" s="212" t="s">
        <v>232</v>
      </c>
      <c r="I766" s="212"/>
      <c r="J766" s="212" t="s">
        <v>308</v>
      </c>
      <c r="K766" s="212" t="s">
        <v>675</v>
      </c>
      <c r="L766" s="212" t="s">
        <v>232</v>
      </c>
      <c r="M766" s="215" t="str">
        <f t="shared" si="71"/>
        <v>Electricity Use - WTTMeginøki</v>
      </c>
      <c r="N766" s="289"/>
      <c r="O766" s="289"/>
      <c r="P766" s="289"/>
      <c r="Q766" s="289"/>
      <c r="R766" s="289"/>
      <c r="S766" s="290">
        <v>8.929771325489981E-2</v>
      </c>
      <c r="T766" s="387">
        <v>8.929771325489981E-2</v>
      </c>
      <c r="U766" s="212" t="s">
        <v>204</v>
      </c>
      <c r="V766" s="212" t="s">
        <v>672</v>
      </c>
      <c r="W766" s="218" t="s">
        <v>673</v>
      </c>
      <c r="X766" s="73"/>
      <c r="Y766" s="67"/>
      <c r="Z766" s="67"/>
      <c r="AA766" s="67"/>
      <c r="AB766" s="67"/>
      <c r="AC766" s="67"/>
    </row>
    <row r="767" spans="2:29">
      <c r="B767" s="166"/>
      <c r="C767" s="173"/>
      <c r="D767" s="212">
        <v>3</v>
      </c>
      <c r="E767" s="212" t="s">
        <v>405</v>
      </c>
      <c r="F767" s="212" t="str">
        <f t="shared" si="67"/>
        <v>3 - Purchased Electricity</v>
      </c>
      <c r="G767" s="248" t="s">
        <v>307</v>
      </c>
      <c r="H767" s="212" t="s">
        <v>1304</v>
      </c>
      <c r="I767" s="212"/>
      <c r="J767" s="212" t="s">
        <v>308</v>
      </c>
      <c r="K767" s="212" t="s">
        <v>675</v>
      </c>
      <c r="L767" s="212" t="s">
        <v>1304</v>
      </c>
      <c r="M767" s="215" t="str">
        <f t="shared" si="71"/>
        <v>Electricity Use - WTTSuðuroy</v>
      </c>
      <c r="N767" s="289"/>
      <c r="O767" s="289"/>
      <c r="P767" s="289"/>
      <c r="Q767" s="289"/>
      <c r="R767" s="289"/>
      <c r="S767" s="290">
        <v>0.10316669450235733</v>
      </c>
      <c r="T767" s="387">
        <v>0.10316669450235733</v>
      </c>
      <c r="U767" s="212" t="s">
        <v>204</v>
      </c>
      <c r="V767" s="212" t="s">
        <v>672</v>
      </c>
      <c r="W767" s="218" t="s">
        <v>673</v>
      </c>
      <c r="X767" s="73"/>
      <c r="Y767" s="67"/>
      <c r="Z767" s="67"/>
      <c r="AA767" s="67"/>
      <c r="AB767" s="67"/>
      <c r="AC767" s="67"/>
    </row>
    <row r="768" spans="2:29">
      <c r="B768" s="166"/>
      <c r="C768" s="173"/>
      <c r="D768" s="212">
        <v>3</v>
      </c>
      <c r="E768" s="212" t="s">
        <v>405</v>
      </c>
      <c r="F768" s="212" t="str">
        <f t="shared" si="67"/>
        <v>3 - Purchased Electricity</v>
      </c>
      <c r="G768" s="248" t="s">
        <v>307</v>
      </c>
      <c r="H768" s="212" t="s">
        <v>408</v>
      </c>
      <c r="I768" s="212"/>
      <c r="J768" s="212" t="s">
        <v>308</v>
      </c>
      <c r="K768" s="212" t="s">
        <v>675</v>
      </c>
      <c r="L768" s="212" t="s">
        <v>408</v>
      </c>
      <c r="M768" s="215" t="str">
        <f t="shared" si="71"/>
        <v>Electricity Use - WTTSmaller Islands</v>
      </c>
      <c r="N768" s="289"/>
      <c r="O768" s="289"/>
      <c r="P768" s="289"/>
      <c r="Q768" s="289"/>
      <c r="R768" s="289"/>
      <c r="S768" s="290">
        <v>0.16721425309364549</v>
      </c>
      <c r="T768" s="387">
        <v>0.16721425309364549</v>
      </c>
      <c r="U768" s="212" t="s">
        <v>204</v>
      </c>
      <c r="V768" s="212" t="s">
        <v>672</v>
      </c>
      <c r="W768" s="218" t="s">
        <v>673</v>
      </c>
      <c r="X768" s="73"/>
      <c r="Y768" s="67"/>
      <c r="Z768" s="67"/>
      <c r="AA768" s="67"/>
      <c r="AB768" s="67"/>
      <c r="AC768" s="67"/>
    </row>
    <row r="769" spans="2:29">
      <c r="B769" s="166"/>
      <c r="C769" s="173"/>
      <c r="D769" s="212">
        <v>3</v>
      </c>
      <c r="E769" s="212" t="s">
        <v>405</v>
      </c>
      <c r="F769" s="212" t="str">
        <f t="shared" si="67"/>
        <v>3 - Purchased Electricity</v>
      </c>
      <c r="G769" s="248" t="s">
        <v>307</v>
      </c>
      <c r="H769" s="212" t="s">
        <v>409</v>
      </c>
      <c r="I769" s="212"/>
      <c r="J769" s="212" t="s">
        <v>308</v>
      </c>
      <c r="K769" s="212" t="s">
        <v>675</v>
      </c>
      <c r="L769" s="212" t="s">
        <v>234</v>
      </c>
      <c r="M769" s="215" t="str">
        <f t="shared" si="71"/>
        <v>Electricity Use - WTTDefault (Faroes Weighted Average)</v>
      </c>
      <c r="N769" s="289"/>
      <c r="O769" s="289"/>
      <c r="P769" s="289"/>
      <c r="Q769" s="289"/>
      <c r="R769" s="289"/>
      <c r="S769" s="290">
        <v>9.0586841293941359E-2</v>
      </c>
      <c r="T769" s="387">
        <v>9.0586841293941359E-2</v>
      </c>
      <c r="U769" s="212" t="s">
        <v>204</v>
      </c>
      <c r="V769" s="212" t="s">
        <v>672</v>
      </c>
      <c r="W769" s="218" t="s">
        <v>673</v>
      </c>
      <c r="X769" s="73"/>
      <c r="Y769" s="67"/>
      <c r="Z769" s="67"/>
      <c r="AA769" s="67"/>
      <c r="AB769" s="67"/>
      <c r="AC769" s="67"/>
    </row>
    <row r="770" spans="2:29">
      <c r="B770" s="166"/>
      <c r="C770" s="173"/>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row>
    <row r="771" spans="2:29">
      <c r="B771" s="166"/>
      <c r="C771" s="173"/>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row>
    <row r="772" spans="2:29">
      <c r="B772" s="166"/>
      <c r="C772" s="173"/>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row>
    <row r="773" spans="2:29">
      <c r="B773" s="166"/>
      <c r="C773" s="173"/>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row>
    <row r="774" spans="2:29">
      <c r="B774" s="166"/>
      <c r="C774" s="173"/>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row>
    <row r="775" spans="2:29">
      <c r="B775" s="166"/>
      <c r="C775" s="173"/>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row>
    <row r="776" spans="2:29">
      <c r="B776" s="166"/>
      <c r="C776" s="173"/>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row>
    <row r="777" spans="2:29">
      <c r="B777" s="166"/>
      <c r="C777" s="173"/>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row>
    <row r="778" spans="2:29">
      <c r="B778" s="166"/>
      <c r="C778" s="173"/>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row>
    <row r="779" spans="2:29">
      <c r="B779" s="166"/>
      <c r="C779" s="173"/>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row>
    <row r="780" spans="2:29">
      <c r="B780" s="166"/>
      <c r="C780" s="173"/>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row>
    <row r="781" spans="2:29">
      <c r="B781" s="166"/>
      <c r="C781" s="173"/>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row>
    <row r="782" spans="2:29">
      <c r="B782" s="166"/>
      <c r="C782" s="173"/>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row>
    <row r="783" spans="2:29">
      <c r="B783" s="166"/>
      <c r="C783" s="173"/>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row>
    <row r="784" spans="2:29" ht="14.25" customHeight="1">
      <c r="B784" s="166"/>
      <c r="C784" s="173"/>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row>
    <row r="785" spans="2:29" ht="14.25" customHeight="1">
      <c r="B785" s="166"/>
      <c r="C785" s="173"/>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row>
    <row r="786" spans="2:29" ht="14.25" customHeight="1">
      <c r="B786" s="166"/>
      <c r="C786" s="173"/>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row>
    <row r="787" spans="2:29" ht="14.25" customHeight="1">
      <c r="B787" s="166"/>
      <c r="C787" s="173"/>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row>
    <row r="788" spans="2:29" hidden="1">
      <c r="B788" s="166"/>
      <c r="C788" s="173"/>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row>
    <row r="789" spans="2:29" hidden="1">
      <c r="B789" s="166"/>
      <c r="C789" s="252"/>
      <c r="D789" s="89"/>
      <c r="E789" s="89"/>
      <c r="F789" s="89"/>
      <c r="G789" s="89"/>
      <c r="H789" s="89"/>
      <c r="I789" s="89"/>
      <c r="J789" s="89"/>
      <c r="K789" s="89"/>
      <c r="L789" s="89"/>
      <c r="M789" s="89"/>
      <c r="N789" s="89"/>
      <c r="O789" s="89"/>
      <c r="P789" s="89"/>
      <c r="Q789" s="89"/>
      <c r="R789" s="89"/>
      <c r="S789" s="89"/>
      <c r="T789" s="89"/>
      <c r="U789" s="89"/>
      <c r="V789" s="89"/>
      <c r="W789" s="89"/>
      <c r="X789" s="89"/>
      <c r="Y789" s="89"/>
      <c r="Z789" s="67"/>
      <c r="AA789" s="67"/>
      <c r="AB789" s="67"/>
      <c r="AC789" s="67"/>
    </row>
  </sheetData>
  <sheetProtection algorithmName="SHA-512" hashValue="UDFbNubCECOL8ZsIrISDxcqEjlhKvMB2E+1gJ5/fUIsaoKDAoLlv9UpFQ29lhHN+biqQcfr4wQAm9/QZ+7BmbA==" saltValue="SwOyv9IKmjWN8nw6a2GUmw==" spinCount="100000" sheet="1" objects="1" scenarios="1"/>
  <autoFilter ref="D17:W65" xr:uid="{6A8F9284-55AE-4BE9-A4B4-A79655D7DFF6}"/>
  <mergeCells count="2">
    <mergeCell ref="D4:X11"/>
    <mergeCell ref="D401:X401"/>
  </mergeCells>
  <phoneticPr fontId="67" type="noConversion"/>
  <hyperlinks>
    <hyperlink ref="D15" r:id="rId1" xr:uid="{0EFEF4F9-D330-4D3A-A3CB-C576BD299C4F}"/>
  </hyperlinks>
  <pageMargins left="0.7" right="0.7" top="0.75" bottom="0.75" header="0.3" footer="0.3"/>
  <pageSetup orientation="portrait" r:id="rId2"/>
  <ignoredErrors>
    <ignoredError sqref="L406" formula="1"/>
  </ignoredErrors>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D206-10BA-4D05-9E9F-514C916CD19A}">
  <sheetPr codeName="Sheet16"/>
  <dimension ref="A1:Z179"/>
  <sheetViews>
    <sheetView showRowColHeaders="0" zoomScale="80" zoomScaleNormal="80" workbookViewId="0">
      <selection activeCell="F7" sqref="F7"/>
    </sheetView>
  </sheetViews>
  <sheetFormatPr defaultColWidth="8.7109375" defaultRowHeight="15"/>
  <cols>
    <col min="1" max="1" width="17.7109375" customWidth="1"/>
    <col min="2" max="2" width="111.7109375" style="34" customWidth="1"/>
    <col min="3" max="3" width="118.140625" style="355" customWidth="1"/>
  </cols>
  <sheetData>
    <row r="1" spans="1:26">
      <c r="A1" s="35" t="s">
        <v>835</v>
      </c>
      <c r="B1" s="35" t="s">
        <v>12</v>
      </c>
      <c r="C1" s="354" t="s">
        <v>767</v>
      </c>
    </row>
    <row r="2" spans="1:26">
      <c r="A2" s="34" t="s">
        <v>2</v>
      </c>
      <c r="B2" s="34" t="s">
        <v>2</v>
      </c>
      <c r="C2" s="355" t="s">
        <v>957</v>
      </c>
    </row>
    <row r="3" spans="1:26" ht="30">
      <c r="A3" s="34" t="s">
        <v>0</v>
      </c>
      <c r="B3" s="34" t="s">
        <v>836</v>
      </c>
      <c r="C3" s="355" t="s">
        <v>1268</v>
      </c>
    </row>
    <row r="4" spans="1:26">
      <c r="A4" s="34" t="s">
        <v>1</v>
      </c>
      <c r="B4" s="34" t="s">
        <v>1</v>
      </c>
      <c r="C4" s="354" t="s">
        <v>958</v>
      </c>
    </row>
    <row r="5" spans="1:26" ht="45">
      <c r="A5" s="34" t="s">
        <v>65</v>
      </c>
      <c r="B5" s="34" t="s">
        <v>837</v>
      </c>
      <c r="C5" s="354" t="s">
        <v>959</v>
      </c>
    </row>
    <row r="6" spans="1:26">
      <c r="A6" s="34" t="s">
        <v>3</v>
      </c>
      <c r="B6" s="34" t="s">
        <v>3</v>
      </c>
      <c r="C6" s="354" t="s">
        <v>960</v>
      </c>
    </row>
    <row r="7" spans="1:26" ht="30">
      <c r="A7" s="34" t="s">
        <v>69</v>
      </c>
      <c r="B7" s="34" t="s">
        <v>1278</v>
      </c>
      <c r="C7" s="354" t="s">
        <v>1277</v>
      </c>
    </row>
    <row r="8" spans="1:26" ht="30">
      <c r="A8" t="s">
        <v>80</v>
      </c>
      <c r="B8" s="34" t="s">
        <v>1279</v>
      </c>
      <c r="C8" s="354" t="s">
        <v>1335</v>
      </c>
    </row>
    <row r="9" spans="1:26">
      <c r="A9" s="34" t="s">
        <v>131</v>
      </c>
      <c r="B9" s="34" t="s">
        <v>131</v>
      </c>
      <c r="C9" s="354" t="s">
        <v>961</v>
      </c>
    </row>
    <row r="10" spans="1:26" ht="330">
      <c r="A10" s="34" t="s">
        <v>4</v>
      </c>
      <c r="B10" s="34" t="s">
        <v>838</v>
      </c>
      <c r="C10" s="356" t="s">
        <v>1300</v>
      </c>
    </row>
    <row r="11" spans="1:26" ht="45">
      <c r="A11" s="34" t="s">
        <v>5</v>
      </c>
      <c r="B11" s="34" t="s">
        <v>839</v>
      </c>
      <c r="C11" s="354" t="s">
        <v>1301</v>
      </c>
    </row>
    <row r="12" spans="1:26" ht="30">
      <c r="A12" s="34" t="s">
        <v>6</v>
      </c>
      <c r="B12" s="34" t="s">
        <v>840</v>
      </c>
      <c r="C12" s="395" t="s">
        <v>1329</v>
      </c>
    </row>
    <row r="13" spans="1:26" ht="30">
      <c r="A13" s="34" t="s">
        <v>7</v>
      </c>
      <c r="B13" s="34" t="s">
        <v>144</v>
      </c>
      <c r="C13" s="354" t="s">
        <v>962</v>
      </c>
      <c r="D13" s="1"/>
      <c r="E13" s="1"/>
      <c r="F13" s="1"/>
      <c r="G13" s="1"/>
      <c r="H13" s="1"/>
      <c r="I13" s="1"/>
      <c r="J13" s="1"/>
      <c r="K13" s="1"/>
      <c r="L13" s="1"/>
      <c r="M13" s="1"/>
      <c r="N13" s="1"/>
      <c r="O13" s="1"/>
      <c r="P13" s="1"/>
      <c r="Q13" s="1"/>
      <c r="R13" s="1"/>
      <c r="S13" s="1"/>
      <c r="T13" s="1"/>
      <c r="U13" s="1"/>
      <c r="V13" s="1"/>
      <c r="W13" s="1"/>
      <c r="X13" s="1"/>
      <c r="Y13" s="1"/>
      <c r="Z13" s="1"/>
    </row>
    <row r="14" spans="1:26" ht="30">
      <c r="A14" s="34" t="s">
        <v>8</v>
      </c>
      <c r="B14" s="34" t="s">
        <v>841</v>
      </c>
      <c r="C14" s="357" t="s">
        <v>963</v>
      </c>
    </row>
    <row r="15" spans="1:26" ht="30">
      <c r="A15" s="34" t="s">
        <v>9</v>
      </c>
      <c r="B15" s="34" t="s">
        <v>304</v>
      </c>
      <c r="C15" s="357" t="s">
        <v>964</v>
      </c>
    </row>
    <row r="16" spans="1:26" ht="30">
      <c r="A16" s="34" t="s">
        <v>10</v>
      </c>
      <c r="B16" s="34" t="s">
        <v>147</v>
      </c>
      <c r="C16" s="354" t="s">
        <v>965</v>
      </c>
    </row>
    <row r="17" spans="1:7" ht="30">
      <c r="A17" s="34" t="s">
        <v>11</v>
      </c>
      <c r="B17" s="34" t="s">
        <v>842</v>
      </c>
      <c r="C17" s="355" t="s">
        <v>966</v>
      </c>
    </row>
    <row r="18" spans="1:7" ht="30">
      <c r="A18" s="34" t="s">
        <v>13</v>
      </c>
      <c r="B18" s="34" t="s">
        <v>843</v>
      </c>
      <c r="C18" s="355" t="s">
        <v>967</v>
      </c>
      <c r="D18" s="34"/>
      <c r="E18" s="34"/>
      <c r="F18" s="34"/>
      <c r="G18" s="34"/>
    </row>
    <row r="19" spans="1:7" ht="30">
      <c r="A19" s="34" t="s">
        <v>14</v>
      </c>
      <c r="B19" s="34" t="s">
        <v>714</v>
      </c>
      <c r="C19" s="357" t="s">
        <v>968</v>
      </c>
      <c r="D19" s="34"/>
      <c r="E19" s="34"/>
      <c r="F19" s="34"/>
      <c r="G19" s="34"/>
    </row>
    <row r="20" spans="1:7" ht="45">
      <c r="A20" s="34" t="s">
        <v>15</v>
      </c>
      <c r="B20" s="34" t="s">
        <v>844</v>
      </c>
      <c r="C20" s="354" t="s">
        <v>1280</v>
      </c>
      <c r="D20" s="34"/>
      <c r="E20" s="34"/>
      <c r="F20" s="34"/>
      <c r="G20" s="34"/>
    </row>
    <row r="21" spans="1:7" ht="30">
      <c r="A21" s="34" t="s">
        <v>16</v>
      </c>
      <c r="B21" s="34" t="s">
        <v>845</v>
      </c>
      <c r="C21" s="354" t="s">
        <v>1281</v>
      </c>
    </row>
    <row r="22" spans="1:7" ht="45">
      <c r="A22" s="34" t="s">
        <v>17</v>
      </c>
      <c r="B22" s="34" t="s">
        <v>846</v>
      </c>
      <c r="C22" s="354" t="s">
        <v>1282</v>
      </c>
    </row>
    <row r="23" spans="1:7" ht="30">
      <c r="A23" s="34" t="s">
        <v>19</v>
      </c>
      <c r="B23" s="34" t="s">
        <v>151</v>
      </c>
      <c r="C23" s="354" t="s">
        <v>969</v>
      </c>
    </row>
    <row r="24" spans="1:7" ht="45">
      <c r="A24" s="34" t="s">
        <v>21</v>
      </c>
      <c r="B24" s="34" t="s">
        <v>405</v>
      </c>
      <c r="C24" s="354" t="s">
        <v>970</v>
      </c>
    </row>
    <row r="25" spans="1:7" ht="30">
      <c r="A25" s="34" t="s">
        <v>23</v>
      </c>
      <c r="B25" s="34" t="s">
        <v>240</v>
      </c>
      <c r="C25" s="354" t="s">
        <v>971</v>
      </c>
    </row>
    <row r="26" spans="1:7" ht="150">
      <c r="A26" s="34" t="s">
        <v>24</v>
      </c>
      <c r="B26" s="34" t="s">
        <v>847</v>
      </c>
      <c r="C26" s="354" t="s">
        <v>1317</v>
      </c>
    </row>
    <row r="27" spans="1:7" ht="45">
      <c r="A27" s="34" t="s">
        <v>25</v>
      </c>
      <c r="B27" s="34" t="s">
        <v>848</v>
      </c>
      <c r="C27" s="354" t="s">
        <v>972</v>
      </c>
    </row>
    <row r="28" spans="1:7" ht="30">
      <c r="A28" s="34" t="s">
        <v>26</v>
      </c>
      <c r="B28" s="34" t="s">
        <v>149</v>
      </c>
      <c r="C28" s="354" t="s">
        <v>973</v>
      </c>
    </row>
    <row r="29" spans="1:7" ht="30">
      <c r="A29" s="34" t="s">
        <v>27</v>
      </c>
      <c r="B29" s="34" t="s">
        <v>849</v>
      </c>
      <c r="C29" s="358" t="s">
        <v>974</v>
      </c>
    </row>
    <row r="30" spans="1:7" ht="45">
      <c r="A30" s="34" t="s">
        <v>28</v>
      </c>
      <c r="B30" s="34" t="s">
        <v>850</v>
      </c>
      <c r="C30" s="358" t="s">
        <v>975</v>
      </c>
    </row>
    <row r="31" spans="1:7" ht="30">
      <c r="A31" s="34" t="s">
        <v>29</v>
      </c>
      <c r="B31" s="34" t="s">
        <v>483</v>
      </c>
      <c r="C31" s="358" t="s">
        <v>976</v>
      </c>
    </row>
    <row r="32" spans="1:7" ht="30">
      <c r="A32" s="34" t="s">
        <v>30</v>
      </c>
      <c r="B32" s="34" t="s">
        <v>448</v>
      </c>
      <c r="C32" s="354" t="s">
        <v>977</v>
      </c>
    </row>
    <row r="33" spans="1:3" ht="13.35" customHeight="1">
      <c r="A33" s="34" t="s">
        <v>31</v>
      </c>
      <c r="B33" s="34" t="s">
        <v>481</v>
      </c>
      <c r="C33" s="358" t="s">
        <v>1283</v>
      </c>
    </row>
    <row r="34" spans="1:3" ht="30">
      <c r="A34" s="34" t="s">
        <v>32</v>
      </c>
      <c r="B34" s="34" t="s">
        <v>851</v>
      </c>
      <c r="C34" s="357" t="s">
        <v>978</v>
      </c>
    </row>
    <row r="35" spans="1:3" ht="105">
      <c r="A35" t="s">
        <v>34</v>
      </c>
      <c r="B35" s="34" t="s">
        <v>852</v>
      </c>
      <c r="C35" s="357" t="s">
        <v>1284</v>
      </c>
    </row>
    <row r="36" spans="1:3" ht="75">
      <c r="A36" t="s">
        <v>35</v>
      </c>
      <c r="B36" s="34" t="s">
        <v>853</v>
      </c>
      <c r="C36" s="354" t="s">
        <v>1285</v>
      </c>
    </row>
    <row r="37" spans="1:3" ht="30">
      <c r="A37" t="s">
        <v>36</v>
      </c>
      <c r="B37" s="34" t="s">
        <v>854</v>
      </c>
      <c r="C37" s="357" t="s">
        <v>1286</v>
      </c>
    </row>
    <row r="38" spans="1:3" ht="30">
      <c r="A38" t="s">
        <v>38</v>
      </c>
      <c r="B38" s="34" t="s">
        <v>855</v>
      </c>
      <c r="C38" s="357" t="s">
        <v>1287</v>
      </c>
    </row>
    <row r="39" spans="1:3">
      <c r="A39" t="s">
        <v>39</v>
      </c>
      <c r="B39" s="34" t="s">
        <v>856</v>
      </c>
      <c r="C39" s="357" t="s">
        <v>1288</v>
      </c>
    </row>
    <row r="40" spans="1:3" ht="30">
      <c r="A40" t="s">
        <v>41</v>
      </c>
      <c r="B40" s="34" t="s">
        <v>857</v>
      </c>
      <c r="C40" s="357" t="s">
        <v>979</v>
      </c>
    </row>
    <row r="41" spans="1:3">
      <c r="A41" t="s">
        <v>43</v>
      </c>
      <c r="B41" s="34" t="s">
        <v>858</v>
      </c>
      <c r="C41" s="357" t="s">
        <v>980</v>
      </c>
    </row>
    <row r="42" spans="1:3">
      <c r="A42" t="s">
        <v>45</v>
      </c>
      <c r="B42" s="34" t="s">
        <v>859</v>
      </c>
      <c r="C42" s="357" t="s">
        <v>981</v>
      </c>
    </row>
    <row r="43" spans="1:3" ht="255">
      <c r="A43" t="s">
        <v>47</v>
      </c>
      <c r="B43" s="34" t="s">
        <v>860</v>
      </c>
      <c r="C43" s="357" t="s">
        <v>1289</v>
      </c>
    </row>
    <row r="44" spans="1:3">
      <c r="A44" t="s">
        <v>67</v>
      </c>
      <c r="B44" s="34" t="s">
        <v>115</v>
      </c>
      <c r="C44" s="357" t="s">
        <v>982</v>
      </c>
    </row>
    <row r="45" spans="1:3" ht="302.25" customHeight="1">
      <c r="A45" t="s">
        <v>61</v>
      </c>
      <c r="B45" s="265" t="s">
        <v>1330</v>
      </c>
      <c r="C45" s="356" t="s">
        <v>1331</v>
      </c>
    </row>
    <row r="46" spans="1:3">
      <c r="A46" t="s">
        <v>55</v>
      </c>
      <c r="B46" s="34" t="s">
        <v>861</v>
      </c>
      <c r="C46" s="357" t="s">
        <v>983</v>
      </c>
    </row>
    <row r="47" spans="1:3" ht="360">
      <c r="A47" t="s">
        <v>57</v>
      </c>
      <c r="B47" s="34" t="s">
        <v>1336</v>
      </c>
      <c r="C47" s="354" t="s">
        <v>1337</v>
      </c>
    </row>
    <row r="48" spans="1:3">
      <c r="A48" t="s">
        <v>59</v>
      </c>
      <c r="B48" s="34" t="s">
        <v>862</v>
      </c>
      <c r="C48" s="357" t="s">
        <v>984</v>
      </c>
    </row>
    <row r="49" spans="1:3" ht="393" customHeight="1">
      <c r="A49" t="s">
        <v>63</v>
      </c>
      <c r="B49" s="34" t="s">
        <v>1086</v>
      </c>
      <c r="C49" s="359" t="s">
        <v>1318</v>
      </c>
    </row>
    <row r="50" spans="1:3">
      <c r="A50" t="s">
        <v>81</v>
      </c>
      <c r="B50" s="34" t="s">
        <v>81</v>
      </c>
      <c r="C50" s="357" t="s">
        <v>985</v>
      </c>
    </row>
    <row r="51" spans="1:3">
      <c r="A51" t="s">
        <v>82</v>
      </c>
      <c r="B51" s="34" t="s">
        <v>863</v>
      </c>
      <c r="C51" s="357" t="s">
        <v>986</v>
      </c>
    </row>
    <row r="52" spans="1:3">
      <c r="A52" t="s">
        <v>83</v>
      </c>
      <c r="B52" s="34" t="s">
        <v>304</v>
      </c>
      <c r="C52" s="357" t="s">
        <v>964</v>
      </c>
    </row>
    <row r="53" spans="1:3" ht="30">
      <c r="A53" t="s">
        <v>84</v>
      </c>
      <c r="B53" s="34" t="s">
        <v>864</v>
      </c>
      <c r="C53" s="354" t="s">
        <v>1319</v>
      </c>
    </row>
    <row r="54" spans="1:3">
      <c r="A54" t="s">
        <v>85</v>
      </c>
      <c r="B54" s="34" t="s">
        <v>865</v>
      </c>
      <c r="C54" s="357" t="s">
        <v>987</v>
      </c>
    </row>
    <row r="55" spans="1:3" ht="30">
      <c r="A55" t="s">
        <v>86</v>
      </c>
      <c r="B55" s="34" t="s">
        <v>866</v>
      </c>
      <c r="C55" s="354" t="s">
        <v>1320</v>
      </c>
    </row>
    <row r="56" spans="1:3">
      <c r="A56" t="s">
        <v>87</v>
      </c>
      <c r="B56" s="265" t="s">
        <v>867</v>
      </c>
      <c r="C56" s="354" t="s">
        <v>988</v>
      </c>
    </row>
    <row r="57" spans="1:3" ht="45">
      <c r="A57" t="s">
        <v>88</v>
      </c>
      <c r="B57" s="34" t="s">
        <v>868</v>
      </c>
      <c r="C57" s="356" t="s">
        <v>1321</v>
      </c>
    </row>
    <row r="58" spans="1:3" ht="45">
      <c r="A58" t="s">
        <v>89</v>
      </c>
      <c r="B58" s="34" t="s">
        <v>869</v>
      </c>
      <c r="C58" s="357" t="s">
        <v>1322</v>
      </c>
    </row>
    <row r="59" spans="1:3" ht="30">
      <c r="A59" t="s">
        <v>90</v>
      </c>
      <c r="B59" s="34" t="s">
        <v>846</v>
      </c>
      <c r="C59" s="354" t="s">
        <v>989</v>
      </c>
    </row>
    <row r="60" spans="1:3">
      <c r="A60" t="s">
        <v>91</v>
      </c>
      <c r="B60" s="34" t="s">
        <v>870</v>
      </c>
      <c r="C60" s="357" t="s">
        <v>990</v>
      </c>
    </row>
    <row r="61" spans="1:3">
      <c r="A61" t="s">
        <v>92</v>
      </c>
      <c r="B61" s="34" t="s">
        <v>848</v>
      </c>
      <c r="C61" s="354" t="s">
        <v>991</v>
      </c>
    </row>
    <row r="62" spans="1:3" ht="30">
      <c r="A62" t="s">
        <v>94</v>
      </c>
      <c r="B62" s="34" t="s">
        <v>871</v>
      </c>
      <c r="C62" s="357" t="s">
        <v>992</v>
      </c>
    </row>
    <row r="63" spans="1:3" ht="30">
      <c r="A63" t="s">
        <v>96</v>
      </c>
      <c r="B63" s="34" t="s">
        <v>872</v>
      </c>
      <c r="C63" s="357" t="s">
        <v>993</v>
      </c>
    </row>
    <row r="64" spans="1:3" ht="30">
      <c r="A64" t="s">
        <v>98</v>
      </c>
      <c r="B64" s="34" t="s">
        <v>873</v>
      </c>
      <c r="C64" s="357" t="s">
        <v>994</v>
      </c>
    </row>
    <row r="65" spans="1:3">
      <c r="A65" t="s">
        <v>100</v>
      </c>
      <c r="B65" s="34" t="s">
        <v>874</v>
      </c>
      <c r="C65" s="360" t="s">
        <v>995</v>
      </c>
    </row>
    <row r="66" spans="1:3" ht="30">
      <c r="A66" t="s">
        <v>102</v>
      </c>
      <c r="B66" s="34" t="s">
        <v>875</v>
      </c>
      <c r="C66" s="354" t="s">
        <v>996</v>
      </c>
    </row>
    <row r="67" spans="1:3" ht="149.25" customHeight="1">
      <c r="A67" t="s">
        <v>104</v>
      </c>
      <c r="B67" s="265" t="s">
        <v>1293</v>
      </c>
      <c r="C67" s="356" t="s">
        <v>1332</v>
      </c>
    </row>
    <row r="68" spans="1:3">
      <c r="A68" t="s">
        <v>106</v>
      </c>
      <c r="B68" s="34" t="s">
        <v>876</v>
      </c>
      <c r="C68" s="357" t="s">
        <v>997</v>
      </c>
    </row>
    <row r="69" spans="1:3">
      <c r="A69" t="s">
        <v>108</v>
      </c>
      <c r="B69" s="34" t="s">
        <v>877</v>
      </c>
      <c r="C69" s="354" t="s">
        <v>998</v>
      </c>
    </row>
    <row r="70" spans="1:3">
      <c r="A70" t="s">
        <v>110</v>
      </c>
      <c r="B70" s="34" t="s">
        <v>878</v>
      </c>
      <c r="C70" s="357" t="s">
        <v>999</v>
      </c>
    </row>
    <row r="71" spans="1:3">
      <c r="A71" t="s">
        <v>112</v>
      </c>
      <c r="B71" s="34" t="s">
        <v>879</v>
      </c>
      <c r="C71" s="354" t="s">
        <v>1000</v>
      </c>
    </row>
    <row r="72" spans="1:3">
      <c r="A72" t="s">
        <v>93</v>
      </c>
      <c r="B72" s="34" t="s">
        <v>93</v>
      </c>
      <c r="C72" s="357" t="s">
        <v>1001</v>
      </c>
    </row>
    <row r="73" spans="1:3" ht="210">
      <c r="A73" s="34" t="s">
        <v>117</v>
      </c>
      <c r="B73" s="34" t="s">
        <v>880</v>
      </c>
      <c r="C73" s="357" t="s">
        <v>1323</v>
      </c>
    </row>
    <row r="74" spans="1:3">
      <c r="A74" t="s">
        <v>118</v>
      </c>
      <c r="B74" s="34" t="s">
        <v>208</v>
      </c>
      <c r="C74" s="357" t="s">
        <v>1002</v>
      </c>
    </row>
    <row r="75" spans="1:3">
      <c r="A75" t="s">
        <v>119</v>
      </c>
      <c r="B75" s="34" t="s">
        <v>881</v>
      </c>
      <c r="C75" s="357" t="s">
        <v>1003</v>
      </c>
    </row>
    <row r="76" spans="1:3">
      <c r="A76" t="s">
        <v>120</v>
      </c>
      <c r="B76" s="34" t="s">
        <v>882</v>
      </c>
      <c r="C76" s="357" t="s">
        <v>1004</v>
      </c>
    </row>
    <row r="77" spans="1:3">
      <c r="A77" t="s">
        <v>121</v>
      </c>
      <c r="B77" s="34" t="s">
        <v>883</v>
      </c>
      <c r="C77" s="357" t="s">
        <v>1005</v>
      </c>
    </row>
    <row r="78" spans="1:3">
      <c r="A78" t="s">
        <v>122</v>
      </c>
      <c r="B78" s="34" t="s">
        <v>884</v>
      </c>
      <c r="C78" s="354" t="s">
        <v>1006</v>
      </c>
    </row>
    <row r="79" spans="1:3">
      <c r="A79" t="s">
        <v>123</v>
      </c>
      <c r="B79" s="34" t="s">
        <v>885</v>
      </c>
      <c r="C79" s="354" t="s">
        <v>1007</v>
      </c>
    </row>
    <row r="80" spans="1:3">
      <c r="A80" t="s">
        <v>124</v>
      </c>
      <c r="B80" s="34" t="s">
        <v>886</v>
      </c>
      <c r="C80" s="357" t="s">
        <v>1008</v>
      </c>
    </row>
    <row r="81" spans="1:3">
      <c r="A81" t="s">
        <v>125</v>
      </c>
      <c r="B81" s="34" t="s">
        <v>835</v>
      </c>
      <c r="C81" s="357" t="s">
        <v>1009</v>
      </c>
    </row>
    <row r="82" spans="1:3">
      <c r="A82" t="s">
        <v>887</v>
      </c>
      <c r="B82" s="34" t="s">
        <v>888</v>
      </c>
      <c r="C82" s="357" t="s">
        <v>1010</v>
      </c>
    </row>
    <row r="83" spans="1:3">
      <c r="A83" t="s">
        <v>889</v>
      </c>
      <c r="B83" s="34" t="s">
        <v>890</v>
      </c>
      <c r="C83" s="357" t="s">
        <v>1011</v>
      </c>
    </row>
    <row r="84" spans="1:3">
      <c r="A84" t="s">
        <v>891</v>
      </c>
      <c r="B84" s="34" t="s">
        <v>892</v>
      </c>
      <c r="C84" s="357" t="s">
        <v>1012</v>
      </c>
    </row>
    <row r="85" spans="1:3">
      <c r="A85" t="s">
        <v>893</v>
      </c>
      <c r="B85" s="34" t="s">
        <v>894</v>
      </c>
      <c r="C85" s="357" t="s">
        <v>1013</v>
      </c>
    </row>
    <row r="86" spans="1:3">
      <c r="A86" t="s">
        <v>126</v>
      </c>
      <c r="B86" s="34" t="s">
        <v>126</v>
      </c>
      <c r="C86" s="357" t="s">
        <v>1014</v>
      </c>
    </row>
    <row r="87" spans="1:3">
      <c r="A87" t="s">
        <v>127</v>
      </c>
      <c r="B87" s="34" t="s">
        <v>895</v>
      </c>
      <c r="C87" s="357" t="s">
        <v>1010</v>
      </c>
    </row>
    <row r="88" spans="1:3">
      <c r="A88" t="s">
        <v>128</v>
      </c>
      <c r="B88" s="34" t="s">
        <v>896</v>
      </c>
      <c r="C88" s="357" t="s">
        <v>1015</v>
      </c>
    </row>
    <row r="89" spans="1:3">
      <c r="A89" t="s">
        <v>129</v>
      </c>
      <c r="B89" s="34" t="s">
        <v>897</v>
      </c>
      <c r="C89" s="357" t="s">
        <v>1016</v>
      </c>
    </row>
    <row r="90" spans="1:3">
      <c r="A90" t="s">
        <v>130</v>
      </c>
      <c r="B90" s="34" t="s">
        <v>898</v>
      </c>
      <c r="C90" s="357" t="s">
        <v>1017</v>
      </c>
    </row>
    <row r="91" spans="1:3">
      <c r="A91" t="s">
        <v>95</v>
      </c>
      <c r="B91" s="34" t="s">
        <v>95</v>
      </c>
      <c r="C91" s="357" t="s">
        <v>1018</v>
      </c>
    </row>
    <row r="92" spans="1:3">
      <c r="A92" t="s">
        <v>144</v>
      </c>
      <c r="B92" s="34" t="s">
        <v>144</v>
      </c>
      <c r="C92" s="354" t="s">
        <v>962</v>
      </c>
    </row>
    <row r="93" spans="1:3">
      <c r="A93" t="s">
        <v>145</v>
      </c>
      <c r="B93" s="34" t="s">
        <v>145</v>
      </c>
      <c r="C93" s="357" t="s">
        <v>1019</v>
      </c>
    </row>
    <row r="94" spans="1:3">
      <c r="A94" t="s">
        <v>147</v>
      </c>
      <c r="B94" s="34" t="s">
        <v>147</v>
      </c>
      <c r="C94" s="354" t="s">
        <v>965</v>
      </c>
    </row>
    <row r="95" spans="1:3">
      <c r="A95" t="s">
        <v>148</v>
      </c>
      <c r="B95" s="34" t="s">
        <v>151</v>
      </c>
      <c r="C95" s="354" t="s">
        <v>969</v>
      </c>
    </row>
    <row r="96" spans="1:3">
      <c r="A96" t="s">
        <v>149</v>
      </c>
      <c r="B96" s="34" t="s">
        <v>149</v>
      </c>
      <c r="C96" s="354" t="s">
        <v>973</v>
      </c>
    </row>
    <row r="97" spans="1:5">
      <c r="A97" t="s">
        <v>150</v>
      </c>
      <c r="B97" s="34" t="s">
        <v>150</v>
      </c>
      <c r="C97" s="354" t="s">
        <v>1020</v>
      </c>
    </row>
    <row r="98" spans="1:5">
      <c r="A98" t="s">
        <v>152</v>
      </c>
      <c r="B98" s="34" t="s">
        <v>152</v>
      </c>
      <c r="C98" s="354" t="s">
        <v>1021</v>
      </c>
    </row>
    <row r="99" spans="1:5">
      <c r="A99" t="s">
        <v>153</v>
      </c>
      <c r="B99" s="34" t="s">
        <v>153</v>
      </c>
      <c r="C99" s="354" t="s">
        <v>1022</v>
      </c>
    </row>
    <row r="100" spans="1:5">
      <c r="A100" t="s">
        <v>154</v>
      </c>
      <c r="B100" s="34" t="s">
        <v>154</v>
      </c>
      <c r="C100" s="354" t="s">
        <v>1023</v>
      </c>
    </row>
    <row r="101" spans="1:5">
      <c r="A101" t="s">
        <v>156</v>
      </c>
      <c r="B101" s="34" t="s">
        <v>156</v>
      </c>
      <c r="C101" s="354" t="s">
        <v>1024</v>
      </c>
    </row>
    <row r="102" spans="1:5">
      <c r="A102" t="s">
        <v>157</v>
      </c>
      <c r="B102" s="34" t="s">
        <v>157</v>
      </c>
      <c r="C102" s="354" t="s">
        <v>1025</v>
      </c>
    </row>
    <row r="103" spans="1:5">
      <c r="A103" t="s">
        <v>158</v>
      </c>
      <c r="B103" s="34" t="s">
        <v>158</v>
      </c>
      <c r="C103" s="354" t="s">
        <v>1026</v>
      </c>
    </row>
    <row r="104" spans="1:5">
      <c r="A104" t="s">
        <v>159</v>
      </c>
      <c r="B104" s="34" t="s">
        <v>159</v>
      </c>
      <c r="C104" s="354" t="s">
        <v>1027</v>
      </c>
    </row>
    <row r="105" spans="1:5">
      <c r="A105" t="s">
        <v>160</v>
      </c>
      <c r="B105" s="34" t="s">
        <v>160</v>
      </c>
      <c r="C105" s="354" t="s">
        <v>1028</v>
      </c>
    </row>
    <row r="106" spans="1:5">
      <c r="A106" t="s">
        <v>161</v>
      </c>
      <c r="B106" s="34" t="s">
        <v>161</v>
      </c>
      <c r="C106" s="354" t="s">
        <v>1029</v>
      </c>
    </row>
    <row r="107" spans="1:5">
      <c r="A107" t="s">
        <v>162</v>
      </c>
      <c r="B107" s="34" t="s">
        <v>162</v>
      </c>
      <c r="C107" s="354" t="s">
        <v>1030</v>
      </c>
    </row>
    <row r="108" spans="1:5">
      <c r="A108" t="s">
        <v>165</v>
      </c>
      <c r="B108" s="34" t="s">
        <v>899</v>
      </c>
      <c r="C108" s="354" t="s">
        <v>1020</v>
      </c>
    </row>
    <row r="109" spans="1:5" ht="270">
      <c r="A109" t="s">
        <v>166</v>
      </c>
      <c r="B109" s="353" t="s">
        <v>1294</v>
      </c>
      <c r="C109" s="354" t="s">
        <v>1324</v>
      </c>
    </row>
    <row r="110" spans="1:5">
      <c r="A110" t="s">
        <v>167</v>
      </c>
      <c r="B110" s="34" t="s">
        <v>167</v>
      </c>
      <c r="C110" s="355" t="s">
        <v>1031</v>
      </c>
      <c r="E110" t="s">
        <v>1295</v>
      </c>
    </row>
    <row r="111" spans="1:5">
      <c r="A111" t="s">
        <v>168</v>
      </c>
      <c r="B111" s="34" t="s">
        <v>884</v>
      </c>
      <c r="C111" s="355" t="s">
        <v>1299</v>
      </c>
    </row>
    <row r="112" spans="1:5">
      <c r="A112" t="s">
        <v>169</v>
      </c>
      <c r="B112" s="34" t="s">
        <v>211</v>
      </c>
      <c r="C112" s="355" t="s">
        <v>1032</v>
      </c>
    </row>
    <row r="113" spans="1:3">
      <c r="A113" t="s">
        <v>170</v>
      </c>
      <c r="B113" s="34" t="s">
        <v>900</v>
      </c>
      <c r="C113" s="355" t="s">
        <v>1033</v>
      </c>
    </row>
    <row r="114" spans="1:3">
      <c r="A114" t="s">
        <v>171</v>
      </c>
      <c r="B114" s="34" t="s">
        <v>901</v>
      </c>
      <c r="C114" s="355" t="s">
        <v>1298</v>
      </c>
    </row>
    <row r="115" spans="1:3">
      <c r="A115" t="s">
        <v>172</v>
      </c>
      <c r="B115" s="34" t="s">
        <v>185</v>
      </c>
      <c r="C115" s="355" t="s">
        <v>1297</v>
      </c>
    </row>
    <row r="116" spans="1:3">
      <c r="A116" t="s">
        <v>173</v>
      </c>
      <c r="B116" s="34" t="s">
        <v>213</v>
      </c>
      <c r="C116" s="355" t="s">
        <v>1034</v>
      </c>
    </row>
    <row r="117" spans="1:3">
      <c r="A117" t="s">
        <v>175</v>
      </c>
      <c r="B117" s="34" t="s">
        <v>214</v>
      </c>
      <c r="C117" s="355" t="s">
        <v>1035</v>
      </c>
    </row>
    <row r="118" spans="1:3">
      <c r="A118" t="s">
        <v>176</v>
      </c>
      <c r="B118" s="34" t="s">
        <v>186</v>
      </c>
      <c r="C118" s="355" t="s">
        <v>1036</v>
      </c>
    </row>
    <row r="119" spans="1:3">
      <c r="A119" t="s">
        <v>177</v>
      </c>
      <c r="B119" s="34" t="s">
        <v>187</v>
      </c>
      <c r="C119" s="355" t="s">
        <v>1037</v>
      </c>
    </row>
    <row r="120" spans="1:3">
      <c r="A120" t="s">
        <v>178</v>
      </c>
      <c r="B120" s="34" t="s">
        <v>188</v>
      </c>
      <c r="C120" s="355" t="s">
        <v>1038</v>
      </c>
    </row>
    <row r="121" spans="1:3">
      <c r="A121" t="s">
        <v>179</v>
      </c>
      <c r="B121" s="34" t="s">
        <v>215</v>
      </c>
      <c r="C121" s="355" t="s">
        <v>1039</v>
      </c>
    </row>
    <row r="122" spans="1:3">
      <c r="A122" t="s">
        <v>180</v>
      </c>
      <c r="B122" s="34" t="s">
        <v>216</v>
      </c>
      <c r="C122" s="355" t="s">
        <v>1040</v>
      </c>
    </row>
    <row r="123" spans="1:3">
      <c r="A123" t="s">
        <v>181</v>
      </c>
      <c r="B123" s="34" t="s">
        <v>902</v>
      </c>
      <c r="C123" s="355" t="s">
        <v>1309</v>
      </c>
    </row>
    <row r="124" spans="1:3">
      <c r="A124" t="s">
        <v>182</v>
      </c>
      <c r="B124" s="34" t="s">
        <v>218</v>
      </c>
      <c r="C124" s="355" t="s">
        <v>1041</v>
      </c>
    </row>
    <row r="125" spans="1:3" ht="14.85" customHeight="1">
      <c r="A125" t="s">
        <v>183</v>
      </c>
      <c r="B125" s="34" t="s">
        <v>219</v>
      </c>
      <c r="C125" s="355" t="s">
        <v>1042</v>
      </c>
    </row>
    <row r="126" spans="1:3">
      <c r="A126" t="s">
        <v>199</v>
      </c>
      <c r="B126" s="34" t="s">
        <v>903</v>
      </c>
      <c r="C126" s="355" t="s">
        <v>1043</v>
      </c>
    </row>
    <row r="127" spans="1:3">
      <c r="A127" t="s">
        <v>184</v>
      </c>
      <c r="B127" s="34" t="s">
        <v>184</v>
      </c>
      <c r="C127" s="355" t="s">
        <v>1030</v>
      </c>
    </row>
    <row r="128" spans="1:3">
      <c r="A128" t="s">
        <v>146</v>
      </c>
      <c r="B128" s="34" t="s">
        <v>146</v>
      </c>
      <c r="C128" s="355" t="s">
        <v>1044</v>
      </c>
    </row>
    <row r="129" spans="1:3">
      <c r="A129" t="s">
        <v>115</v>
      </c>
      <c r="B129" s="34" t="s">
        <v>904</v>
      </c>
      <c r="C129" s="355" t="s">
        <v>1045</v>
      </c>
    </row>
    <row r="130" spans="1:3">
      <c r="A130" t="s">
        <v>197</v>
      </c>
      <c r="B130" s="34" t="s">
        <v>197</v>
      </c>
      <c r="C130" s="355" t="s">
        <v>1046</v>
      </c>
    </row>
    <row r="131" spans="1:3" ht="255">
      <c r="A131" t="s">
        <v>198</v>
      </c>
      <c r="B131" s="265" t="s">
        <v>1308</v>
      </c>
      <c r="C131" s="354" t="s">
        <v>1325</v>
      </c>
    </row>
    <row r="132" spans="1:3">
      <c r="A132" t="s">
        <v>101</v>
      </c>
      <c r="B132" s="34" t="s">
        <v>101</v>
      </c>
      <c r="C132" s="354" t="s">
        <v>1047</v>
      </c>
    </row>
    <row r="133" spans="1:3" ht="210">
      <c r="A133" t="s">
        <v>221</v>
      </c>
      <c r="B133" s="34" t="s">
        <v>905</v>
      </c>
      <c r="C133" s="356" t="s">
        <v>1048</v>
      </c>
    </row>
    <row r="134" spans="1:3">
      <c r="A134" t="s">
        <v>222</v>
      </c>
      <c r="B134" s="34" t="s">
        <v>906</v>
      </c>
      <c r="C134" s="357" t="s">
        <v>1049</v>
      </c>
    </row>
    <row r="135" spans="1:3">
      <c r="A135" t="s">
        <v>223</v>
      </c>
      <c r="B135" s="34" t="s">
        <v>907</v>
      </c>
      <c r="C135" s="354" t="s">
        <v>1050</v>
      </c>
    </row>
    <row r="136" spans="1:3">
      <c r="A136" t="s">
        <v>103</v>
      </c>
      <c r="B136" s="34" t="s">
        <v>103</v>
      </c>
      <c r="C136" s="357" t="s">
        <v>1051</v>
      </c>
    </row>
    <row r="137" spans="1:3" ht="195">
      <c r="A137" t="s">
        <v>228</v>
      </c>
      <c r="B137" s="34" t="s">
        <v>908</v>
      </c>
      <c r="C137" s="354" t="s">
        <v>1326</v>
      </c>
    </row>
    <row r="138" spans="1:3">
      <c r="A138" t="s">
        <v>229</v>
      </c>
      <c r="B138" s="34" t="s">
        <v>229</v>
      </c>
      <c r="C138" s="357" t="s">
        <v>1052</v>
      </c>
    </row>
    <row r="139" spans="1:3">
      <c r="A139" t="s">
        <v>105</v>
      </c>
      <c r="B139" s="34" t="s">
        <v>105</v>
      </c>
      <c r="C139" s="357" t="s">
        <v>1053</v>
      </c>
    </row>
    <row r="140" spans="1:3" ht="225">
      <c r="A140" t="s">
        <v>237</v>
      </c>
      <c r="B140" s="34" t="s">
        <v>909</v>
      </c>
      <c r="C140" s="354" t="s">
        <v>1327</v>
      </c>
    </row>
    <row r="141" spans="1:3">
      <c r="A141" t="s">
        <v>238</v>
      </c>
      <c r="B141" s="34" t="s">
        <v>238</v>
      </c>
      <c r="C141" s="354" t="s">
        <v>1054</v>
      </c>
    </row>
    <row r="142" spans="1:3" ht="344.25" customHeight="1">
      <c r="A142" t="s">
        <v>241</v>
      </c>
      <c r="B142" s="265" t="s">
        <v>1290</v>
      </c>
      <c r="C142" s="354" t="s">
        <v>1328</v>
      </c>
    </row>
    <row r="143" spans="1:3">
      <c r="A143" t="s">
        <v>107</v>
      </c>
      <c r="B143" s="34" t="s">
        <v>107</v>
      </c>
      <c r="C143" s="357" t="s">
        <v>1055</v>
      </c>
    </row>
    <row r="144" spans="1:3">
      <c r="A144" t="s">
        <v>242</v>
      </c>
      <c r="B144" s="34" t="s">
        <v>910</v>
      </c>
      <c r="C144" s="357" t="s">
        <v>1056</v>
      </c>
    </row>
    <row r="145" spans="1:3">
      <c r="A145" t="s">
        <v>243</v>
      </c>
      <c r="B145" s="34" t="s">
        <v>269</v>
      </c>
      <c r="C145" s="357" t="s">
        <v>1057</v>
      </c>
    </row>
    <row r="146" spans="1:3">
      <c r="A146" t="s">
        <v>244</v>
      </c>
      <c r="B146" s="34" t="s">
        <v>911</v>
      </c>
      <c r="C146" s="357" t="s">
        <v>1058</v>
      </c>
    </row>
    <row r="147" spans="1:3">
      <c r="A147" t="s">
        <v>252</v>
      </c>
      <c r="B147" s="34" t="s">
        <v>230</v>
      </c>
      <c r="C147" s="357" t="s">
        <v>1059</v>
      </c>
    </row>
    <row r="148" spans="1:3" ht="45">
      <c r="A148" s="34" t="s">
        <v>109</v>
      </c>
      <c r="B148" s="34" t="s">
        <v>109</v>
      </c>
      <c r="C148" s="357" t="s">
        <v>1060</v>
      </c>
    </row>
    <row r="149" spans="1:3" ht="315">
      <c r="A149" s="34" t="s">
        <v>253</v>
      </c>
      <c r="B149" s="265" t="s">
        <v>1291</v>
      </c>
      <c r="C149" s="357" t="s">
        <v>1292</v>
      </c>
    </row>
    <row r="150" spans="1:3" ht="30">
      <c r="A150" s="34" t="s">
        <v>111</v>
      </c>
      <c r="B150" s="34" t="s">
        <v>111</v>
      </c>
      <c r="C150" s="354" t="s">
        <v>1061</v>
      </c>
    </row>
    <row r="151" spans="1:3" ht="360">
      <c r="A151" t="s">
        <v>259</v>
      </c>
      <c r="B151" s="34" t="s">
        <v>912</v>
      </c>
      <c r="C151" s="356" t="s">
        <v>1333</v>
      </c>
    </row>
    <row r="152" spans="1:3" ht="30">
      <c r="A152" s="34" t="s">
        <v>113</v>
      </c>
      <c r="B152" s="34" t="s">
        <v>113</v>
      </c>
      <c r="C152" s="357" t="s">
        <v>1062</v>
      </c>
    </row>
    <row r="153" spans="1:3" ht="270">
      <c r="A153" s="34" t="s">
        <v>270</v>
      </c>
      <c r="B153" s="34" t="s">
        <v>913</v>
      </c>
      <c r="C153" s="357" t="s">
        <v>1307</v>
      </c>
    </row>
    <row r="154" spans="1:3" ht="45">
      <c r="A154" s="34" t="s">
        <v>114</v>
      </c>
      <c r="B154" s="34" t="s">
        <v>114</v>
      </c>
      <c r="C154" s="357" t="s">
        <v>1064</v>
      </c>
    </row>
    <row r="155" spans="1:3" ht="210">
      <c r="A155" s="34" t="s">
        <v>275</v>
      </c>
      <c r="B155" s="34" t="s">
        <v>1306</v>
      </c>
      <c r="C155" s="354" t="s">
        <v>1063</v>
      </c>
    </row>
    <row r="156" spans="1:3" ht="30">
      <c r="A156" s="34" t="s">
        <v>276</v>
      </c>
      <c r="B156" s="34" t="s">
        <v>914</v>
      </c>
      <c r="C156" s="357" t="s">
        <v>1065</v>
      </c>
    </row>
    <row r="157" spans="1:3" ht="30">
      <c r="A157" s="34" t="s">
        <v>285</v>
      </c>
      <c r="B157" s="34" t="s">
        <v>115</v>
      </c>
      <c r="C157" s="354" t="s">
        <v>982</v>
      </c>
    </row>
    <row r="158" spans="1:3" ht="30">
      <c r="A158" t="s">
        <v>286</v>
      </c>
      <c r="B158" s="34" t="s">
        <v>286</v>
      </c>
      <c r="C158" s="354" t="s">
        <v>1066</v>
      </c>
    </row>
    <row r="159" spans="1:3">
      <c r="A159" t="s">
        <v>70</v>
      </c>
      <c r="B159" s="34" t="s">
        <v>915</v>
      </c>
      <c r="C159" s="357" t="s">
        <v>1067</v>
      </c>
    </row>
    <row r="160" spans="1:3">
      <c r="A160" t="s">
        <v>71</v>
      </c>
      <c r="B160" s="34" t="s">
        <v>916</v>
      </c>
      <c r="C160" s="357" t="s">
        <v>1068</v>
      </c>
    </row>
    <row r="161" spans="1:3">
      <c r="A161" t="s">
        <v>72</v>
      </c>
      <c r="B161" s="34" t="s">
        <v>917</v>
      </c>
      <c r="C161" s="357" t="s">
        <v>1069</v>
      </c>
    </row>
    <row r="162" spans="1:3">
      <c r="A162" t="s">
        <v>73</v>
      </c>
      <c r="B162" s="34" t="s">
        <v>918</v>
      </c>
      <c r="C162" s="357" t="s">
        <v>1070</v>
      </c>
    </row>
    <row r="163" spans="1:3">
      <c r="A163" t="s">
        <v>74</v>
      </c>
      <c r="B163" s="34" t="s">
        <v>919</v>
      </c>
      <c r="C163" s="357" t="s">
        <v>1071</v>
      </c>
    </row>
    <row r="164" spans="1:3">
      <c r="A164" t="s">
        <v>75</v>
      </c>
      <c r="B164" s="34" t="s">
        <v>920</v>
      </c>
      <c r="C164" s="357" t="s">
        <v>1072</v>
      </c>
    </row>
    <row r="165" spans="1:3">
      <c r="A165" t="s">
        <v>76</v>
      </c>
      <c r="B165" s="34" t="s">
        <v>921</v>
      </c>
      <c r="C165" s="354" t="s">
        <v>1073</v>
      </c>
    </row>
    <row r="166" spans="1:3">
      <c r="A166" t="s">
        <v>77</v>
      </c>
      <c r="B166" s="34" t="s">
        <v>922</v>
      </c>
      <c r="C166" s="357" t="s">
        <v>1074</v>
      </c>
    </row>
    <row r="167" spans="1:3">
      <c r="A167" t="s">
        <v>78</v>
      </c>
      <c r="B167" s="34" t="s">
        <v>923</v>
      </c>
      <c r="C167" s="357" t="s">
        <v>1075</v>
      </c>
    </row>
    <row r="168" spans="1:3">
      <c r="A168" t="s">
        <v>79</v>
      </c>
      <c r="B168" s="34" t="s">
        <v>924</v>
      </c>
      <c r="C168" s="357" t="s">
        <v>1081</v>
      </c>
    </row>
    <row r="169" spans="1:3">
      <c r="A169" t="s">
        <v>138</v>
      </c>
      <c r="B169" s="34" t="s">
        <v>925</v>
      </c>
      <c r="C169" s="357" t="s">
        <v>1082</v>
      </c>
    </row>
    <row r="170" spans="1:3">
      <c r="A170" t="s">
        <v>132</v>
      </c>
      <c r="B170" s="34" t="s">
        <v>132</v>
      </c>
      <c r="C170" s="357" t="s">
        <v>1076</v>
      </c>
    </row>
    <row r="171" spans="1:3">
      <c r="A171" t="s">
        <v>133</v>
      </c>
      <c r="B171" s="34" t="s">
        <v>133</v>
      </c>
      <c r="C171" s="357" t="s">
        <v>1077</v>
      </c>
    </row>
    <row r="172" spans="1:3">
      <c r="A172" t="s">
        <v>134</v>
      </c>
      <c r="B172" s="34" t="s">
        <v>134</v>
      </c>
      <c r="C172" s="357" t="s">
        <v>1078</v>
      </c>
    </row>
    <row r="173" spans="1:3">
      <c r="A173" t="s">
        <v>135</v>
      </c>
      <c r="B173" s="34" t="s">
        <v>135</v>
      </c>
      <c r="C173" s="357" t="s">
        <v>1079</v>
      </c>
    </row>
    <row r="174" spans="1:3">
      <c r="A174" t="s">
        <v>926</v>
      </c>
      <c r="B174" s="34" t="s">
        <v>926</v>
      </c>
      <c r="C174" s="357" t="s">
        <v>1080</v>
      </c>
    </row>
    <row r="175" spans="1:3" ht="120">
      <c r="A175" t="s">
        <v>137</v>
      </c>
      <c r="B175" s="34" t="s">
        <v>1296</v>
      </c>
      <c r="C175" s="416" t="s">
        <v>1334</v>
      </c>
    </row>
    <row r="176" spans="1:3">
      <c r="A176" t="s">
        <v>277</v>
      </c>
      <c r="B176" s="34" t="s">
        <v>927</v>
      </c>
      <c r="C176" s="357" t="s">
        <v>1083</v>
      </c>
    </row>
    <row r="177" spans="1:3" ht="30">
      <c r="A177" t="s">
        <v>139</v>
      </c>
      <c r="B177" s="34" t="s">
        <v>928</v>
      </c>
      <c r="C177" s="357" t="s">
        <v>1084</v>
      </c>
    </row>
    <row r="178" spans="1:3" ht="140.1" customHeight="1">
      <c r="A178" t="s">
        <v>140</v>
      </c>
      <c r="B178" s="34" t="s">
        <v>140</v>
      </c>
      <c r="C178" s="357" t="s">
        <v>929</v>
      </c>
    </row>
    <row r="179" spans="1:3">
      <c r="A179" t="s">
        <v>163</v>
      </c>
      <c r="B179" s="34" t="s">
        <v>930</v>
      </c>
      <c r="C179" s="357" t="s">
        <v>1085</v>
      </c>
    </row>
  </sheetData>
  <sheetProtection algorithmName="SHA-512" hashValue="sFA713zC8398OlzEf/1mmIsGKSRLlOK+Ia9jbpzbvzW4ZOhXT4yOzYn+AfIOVm+4IcCF1tIBX1VHiv9jNYdI4A==" saltValue="uszPEfYDTx9TZNDf5+5ShQ==" spinCount="100000" sheet="1" objects="1" scenarios="1"/>
  <autoFilter ref="A1:C179" xr:uid="{3309D206-10BA-4D05-9E9F-514C916CD19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CE9F-42E3-4135-A038-D6F44530DA73}">
  <sheetPr codeName="Sheet19"/>
  <dimension ref="A1:AA22"/>
  <sheetViews>
    <sheetView showGridLines="0" showRowColHeaders="0" zoomScale="85" zoomScaleNormal="85" workbookViewId="0">
      <selection activeCell="C4" sqref="C4"/>
    </sheetView>
  </sheetViews>
  <sheetFormatPr defaultColWidth="8.7109375" defaultRowHeight="14.25"/>
  <cols>
    <col min="1" max="1" width="7.28515625" style="28" customWidth="1"/>
    <col min="2" max="2" width="16.28515625" style="28" customWidth="1"/>
    <col min="3" max="3" width="9" style="28" bestFit="1" customWidth="1"/>
    <col min="4" max="4" width="77.42578125" style="28" customWidth="1"/>
    <col min="5" max="5" width="13.85546875" style="28" customWidth="1"/>
    <col min="6" max="16384" width="8.7109375" style="28"/>
  </cols>
  <sheetData>
    <row r="1" spans="1:27">
      <c r="A1" s="26"/>
      <c r="B1" s="27"/>
      <c r="C1" s="27"/>
      <c r="D1" s="27"/>
      <c r="E1" s="27"/>
      <c r="F1" s="27"/>
    </row>
    <row r="2" spans="1:27" ht="15">
      <c r="A2" s="27"/>
      <c r="B2" s="29" t="s">
        <v>931</v>
      </c>
      <c r="C2" s="29" t="s">
        <v>3</v>
      </c>
      <c r="D2" s="29" t="s">
        <v>304</v>
      </c>
      <c r="E2" s="29" t="s">
        <v>933</v>
      </c>
      <c r="F2" s="27"/>
      <c r="G2" s="30"/>
      <c r="H2" s="393" t="s">
        <v>1271</v>
      </c>
    </row>
    <row r="3" spans="1:27">
      <c r="A3" s="27"/>
      <c r="B3" s="31">
        <v>45330</v>
      </c>
      <c r="C3" s="32" t="s">
        <v>1338</v>
      </c>
      <c r="D3" s="32" t="s">
        <v>1315</v>
      </c>
      <c r="E3" s="32" t="s">
        <v>1316</v>
      </c>
      <c r="F3" s="27"/>
    </row>
    <row r="4" spans="1:27">
      <c r="A4" s="27"/>
      <c r="B4" s="31"/>
      <c r="C4" s="32"/>
      <c r="D4" s="32"/>
      <c r="E4" s="32"/>
      <c r="F4" s="27"/>
      <c r="H4" s="28">
        <v>1</v>
      </c>
      <c r="I4" s="28" t="s">
        <v>1272</v>
      </c>
    </row>
    <row r="5" spans="1:27">
      <c r="A5" s="27"/>
      <c r="B5" s="32"/>
      <c r="C5" s="32"/>
      <c r="D5" s="32"/>
      <c r="E5" s="32"/>
      <c r="F5" s="27"/>
      <c r="H5" s="28">
        <v>2</v>
      </c>
      <c r="I5" s="28" t="s">
        <v>1273</v>
      </c>
    </row>
    <row r="6" spans="1:27">
      <c r="A6" s="27"/>
      <c r="B6" s="32"/>
      <c r="C6" s="32"/>
      <c r="D6" s="32"/>
      <c r="E6" s="32"/>
      <c r="F6" s="27"/>
      <c r="H6" s="28">
        <v>3</v>
      </c>
      <c r="I6" s="28" t="s">
        <v>1274</v>
      </c>
    </row>
    <row r="7" spans="1:27">
      <c r="A7" s="27"/>
      <c r="B7" s="32"/>
      <c r="C7" s="32"/>
      <c r="D7" s="36"/>
      <c r="E7" s="36"/>
      <c r="F7" s="4"/>
      <c r="G7" s="1"/>
      <c r="H7" s="1">
        <v>4</v>
      </c>
      <c r="I7" s="28" t="s">
        <v>1310</v>
      </c>
      <c r="J7" s="1"/>
      <c r="K7" s="1"/>
      <c r="L7" s="1"/>
      <c r="M7" s="1"/>
      <c r="N7" s="1"/>
      <c r="O7" s="1"/>
      <c r="P7" s="1"/>
      <c r="Q7" s="1"/>
      <c r="R7" s="1"/>
      <c r="S7" s="1"/>
      <c r="T7" s="1"/>
      <c r="U7" s="1"/>
      <c r="V7" s="1"/>
      <c r="W7" s="1"/>
      <c r="X7" s="1"/>
      <c r="Y7" s="1"/>
      <c r="Z7" s="1"/>
      <c r="AA7" s="1"/>
    </row>
    <row r="8" spans="1:27">
      <c r="A8" s="27"/>
      <c r="B8" s="32"/>
      <c r="C8" s="32"/>
      <c r="D8" s="32"/>
      <c r="E8" s="32"/>
      <c r="F8" s="27"/>
      <c r="H8" s="28">
        <v>5</v>
      </c>
      <c r="I8" s="28" t="s">
        <v>1275</v>
      </c>
    </row>
    <row r="9" spans="1:27">
      <c r="A9" s="27"/>
      <c r="B9" s="32"/>
      <c r="C9" s="32"/>
      <c r="D9" s="32"/>
      <c r="E9" s="32"/>
      <c r="F9" s="27"/>
      <c r="H9" s="28">
        <v>6</v>
      </c>
      <c r="I9" s="28" t="s">
        <v>1311</v>
      </c>
    </row>
    <row r="10" spans="1:27">
      <c r="A10" s="27"/>
      <c r="B10" s="32"/>
      <c r="C10" s="32"/>
      <c r="D10" s="32"/>
      <c r="E10" s="32"/>
      <c r="F10" s="27"/>
      <c r="H10" s="28">
        <v>7</v>
      </c>
      <c r="I10" s="28" t="s">
        <v>1276</v>
      </c>
    </row>
    <row r="11" spans="1:27">
      <c r="A11" s="27"/>
      <c r="B11" s="32"/>
      <c r="C11" s="32"/>
      <c r="D11" s="32"/>
      <c r="E11" s="32"/>
      <c r="F11" s="27"/>
    </row>
    <row r="12" spans="1:27">
      <c r="A12" s="27"/>
      <c r="B12" s="32"/>
      <c r="C12" s="32"/>
      <c r="D12" s="32"/>
      <c r="E12" s="32"/>
      <c r="F12" s="27"/>
    </row>
    <row r="13" spans="1:27">
      <c r="A13" s="27"/>
      <c r="B13" s="32"/>
      <c r="C13" s="32"/>
      <c r="D13" s="32"/>
      <c r="E13" s="32"/>
      <c r="F13" s="27"/>
    </row>
    <row r="14" spans="1:27">
      <c r="A14" s="27"/>
      <c r="B14" s="32"/>
      <c r="C14" s="32"/>
      <c r="D14" s="32"/>
      <c r="E14" s="32"/>
      <c r="F14" s="27"/>
    </row>
    <row r="15" spans="1:27">
      <c r="A15" s="27"/>
      <c r="B15" s="32"/>
      <c r="C15" s="32"/>
      <c r="D15" s="32"/>
      <c r="E15" s="32"/>
      <c r="F15" s="27"/>
    </row>
    <row r="16" spans="1:27">
      <c r="A16" s="27"/>
      <c r="B16" s="32"/>
      <c r="C16" s="32"/>
      <c r="D16" s="32"/>
      <c r="E16" s="32"/>
      <c r="F16" s="27"/>
    </row>
    <row r="17" spans="1:8" ht="15">
      <c r="A17" s="27"/>
      <c r="B17" s="32"/>
      <c r="C17" s="32"/>
      <c r="D17" s="32"/>
      <c r="E17" s="32"/>
      <c r="F17" s="27"/>
      <c r="H17" s="393"/>
    </row>
    <row r="18" spans="1:8">
      <c r="A18" s="27"/>
      <c r="B18" s="32"/>
      <c r="C18" s="32"/>
      <c r="D18" s="32"/>
      <c r="E18" s="32"/>
      <c r="F18" s="27"/>
    </row>
    <row r="19" spans="1:8">
      <c r="A19" s="27"/>
      <c r="B19" s="32"/>
      <c r="C19" s="32"/>
      <c r="D19" s="32"/>
      <c r="E19" s="32"/>
      <c r="F19" s="27"/>
    </row>
    <row r="20" spans="1:8">
      <c r="A20" s="27"/>
      <c r="B20" s="32"/>
      <c r="C20" s="32"/>
      <c r="D20" s="32"/>
      <c r="E20" s="32"/>
      <c r="F20" s="27"/>
    </row>
    <row r="21" spans="1:8">
      <c r="A21" s="27"/>
      <c r="B21" s="32"/>
      <c r="C21" s="32"/>
      <c r="D21" s="32"/>
      <c r="E21" s="32"/>
      <c r="F21" s="27"/>
    </row>
    <row r="22" spans="1:8">
      <c r="A22" s="27"/>
      <c r="B22" s="27"/>
      <c r="C22" s="27"/>
      <c r="D22" s="27"/>
      <c r="E22" s="27"/>
      <c r="F22" s="27"/>
    </row>
  </sheetData>
  <sheetProtection algorithmName="SHA-512" hashValue="OcGu1Qd1aM/+1uv4QojxlVpYWINiajs6ShuxEZOZiMhKj3cPpKWEKouplhs0SK9MzyU/0p8viGbBWVzeGg3TKA==" saltValue="Qzkb6flQhtQhA9XGars5AA==" spinCount="100000" sheet="1" objects="1" scenario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178E-B2E5-48A8-8431-89ECF2142275}">
  <sheetPr codeName="Sheet20"/>
  <dimension ref="A1:Z12"/>
  <sheetViews>
    <sheetView workbookViewId="0"/>
  </sheetViews>
  <sheetFormatPr defaultColWidth="8.7109375" defaultRowHeight="15"/>
  <cols>
    <col min="1" max="2" width="21.28515625" customWidth="1"/>
    <col min="3" max="3" width="33.42578125" customWidth="1"/>
    <col min="4" max="4" width="26.7109375" bestFit="1" customWidth="1"/>
  </cols>
  <sheetData>
    <row r="1" spans="1:26">
      <c r="A1" s="17" t="s">
        <v>932</v>
      </c>
      <c r="B1" s="17" t="s">
        <v>835</v>
      </c>
      <c r="C1" s="17" t="s">
        <v>933</v>
      </c>
      <c r="D1" s="17" t="s">
        <v>934</v>
      </c>
      <c r="E1" s="17" t="s">
        <v>935</v>
      </c>
      <c r="F1" s="17" t="s">
        <v>936</v>
      </c>
      <c r="G1" s="17"/>
      <c r="H1" s="17"/>
      <c r="I1" s="17"/>
    </row>
    <row r="2" spans="1:26">
      <c r="A2" s="17" t="s">
        <v>937</v>
      </c>
      <c r="B2" s="17"/>
      <c r="C2" s="17" t="s">
        <v>938</v>
      </c>
      <c r="D2" s="17" t="s">
        <v>939</v>
      </c>
      <c r="E2" s="17"/>
      <c r="F2" s="17"/>
      <c r="G2" s="17"/>
      <c r="H2" s="17"/>
      <c r="I2" s="17"/>
    </row>
    <row r="3" spans="1:26">
      <c r="A3" s="17" t="s">
        <v>940</v>
      </c>
      <c r="B3" s="17"/>
      <c r="C3" s="17" t="s">
        <v>941</v>
      </c>
      <c r="D3" s="17" t="s">
        <v>939</v>
      </c>
      <c r="E3" s="17"/>
      <c r="F3" s="17"/>
      <c r="G3" s="17"/>
      <c r="H3" s="17"/>
      <c r="I3" s="17"/>
    </row>
    <row r="4" spans="1:26">
      <c r="A4" s="17" t="s">
        <v>942</v>
      </c>
      <c r="B4" s="17"/>
      <c r="C4" s="17" t="s">
        <v>943</v>
      </c>
      <c r="D4" s="17" t="s">
        <v>939</v>
      </c>
      <c r="E4" s="17"/>
      <c r="F4" s="17"/>
      <c r="G4" s="17"/>
      <c r="H4" s="17"/>
      <c r="I4" s="17"/>
    </row>
    <row r="5" spans="1:26">
      <c r="A5" s="17" t="s">
        <v>944</v>
      </c>
      <c r="B5" s="17" t="s">
        <v>288</v>
      </c>
      <c r="C5" s="17" t="s">
        <v>371</v>
      </c>
      <c r="D5" s="17" t="s">
        <v>945</v>
      </c>
      <c r="E5" s="17">
        <v>25</v>
      </c>
      <c r="F5" s="17">
        <v>28</v>
      </c>
      <c r="G5" s="17"/>
      <c r="H5" s="17"/>
      <c r="I5" s="17"/>
    </row>
    <row r="6" spans="1:26">
      <c r="A6" s="17" t="s">
        <v>946</v>
      </c>
      <c r="B6" s="17"/>
      <c r="C6" s="17" t="s">
        <v>947</v>
      </c>
      <c r="D6" s="17" t="s">
        <v>939</v>
      </c>
      <c r="E6" s="17"/>
      <c r="F6" s="17"/>
      <c r="G6" s="17"/>
      <c r="H6" s="17"/>
      <c r="I6" s="17"/>
    </row>
    <row r="7" spans="1:26">
      <c r="A7" s="17" t="s">
        <v>948</v>
      </c>
      <c r="B7" s="17" t="s">
        <v>287</v>
      </c>
      <c r="C7" s="17" t="s">
        <v>949</v>
      </c>
      <c r="D7" s="17" t="s">
        <v>945</v>
      </c>
      <c r="E7" s="17">
        <v>1</v>
      </c>
      <c r="F7" s="17">
        <v>1</v>
      </c>
      <c r="G7" s="17"/>
      <c r="H7" s="17"/>
      <c r="I7" s="17"/>
    </row>
    <row r="8" spans="1:26">
      <c r="A8" s="17" t="s">
        <v>950</v>
      </c>
      <c r="B8" s="17" t="s">
        <v>289</v>
      </c>
      <c r="C8" s="17" t="s">
        <v>372</v>
      </c>
      <c r="D8" s="17" t="s">
        <v>945</v>
      </c>
      <c r="E8" s="17">
        <v>298</v>
      </c>
      <c r="F8" s="17">
        <v>265</v>
      </c>
      <c r="G8" s="17"/>
      <c r="H8" s="17"/>
      <c r="I8" s="17"/>
    </row>
    <row r="9" spans="1:26">
      <c r="A9" s="17" t="s">
        <v>951</v>
      </c>
      <c r="B9" s="17"/>
      <c r="C9" s="17" t="s">
        <v>952</v>
      </c>
      <c r="D9" s="17"/>
      <c r="E9" s="17"/>
      <c r="F9" s="17"/>
      <c r="G9" s="17"/>
      <c r="H9" s="17"/>
      <c r="I9" s="17"/>
    </row>
    <row r="10" spans="1:26">
      <c r="A10" s="17" t="s">
        <v>953</v>
      </c>
      <c r="B10" s="17"/>
      <c r="C10" s="17" t="s">
        <v>954</v>
      </c>
      <c r="D10" s="17"/>
      <c r="E10" s="17"/>
      <c r="F10" s="17"/>
      <c r="G10" s="17"/>
      <c r="H10" s="17"/>
      <c r="I10" s="17"/>
    </row>
    <row r="11" spans="1:26">
      <c r="A11" s="17" t="s">
        <v>955</v>
      </c>
      <c r="B11" s="17"/>
      <c r="C11" s="17" t="s">
        <v>954</v>
      </c>
      <c r="D11" s="17"/>
      <c r="E11" s="17"/>
      <c r="F11" s="17"/>
      <c r="G11" s="17"/>
      <c r="H11" s="17"/>
      <c r="I11" s="17"/>
    </row>
    <row r="12" spans="1:26">
      <c r="D12" s="1"/>
      <c r="E12" s="1"/>
      <c r="F12" s="1"/>
      <c r="G12" s="1"/>
      <c r="H12" s="1"/>
      <c r="I12" s="1"/>
      <c r="J12" s="1"/>
      <c r="K12" s="1"/>
      <c r="L12" s="1"/>
      <c r="M12" s="1"/>
      <c r="N12" s="1"/>
      <c r="O12" s="1"/>
      <c r="P12" s="1"/>
      <c r="Q12" s="1"/>
      <c r="R12" s="1"/>
      <c r="S12" s="1"/>
      <c r="T12" s="1"/>
      <c r="U12" s="1"/>
      <c r="V12" s="1"/>
      <c r="W12" s="1"/>
      <c r="X12" s="1"/>
      <c r="Y12" s="1"/>
      <c r="Z12" s="1"/>
    </row>
  </sheetData>
  <sheetProtection algorithmName="SHA-512" hashValue="RiDVKcV4f+xGYpc12P9qsj9F4SKeaIlFNqTmZK3qczW4AgmBKhJT0k742OoNndbWIeXyFIQfKoaHEQDfQlNrWQ==" saltValue="7X5c6UES3L13n3qSd5hz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2559ac7-8e56-4d2e-b71e-bc2d75d0c3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86FAE9A7021C4EACFA03FFFAAF272D" ma:contentTypeVersion="16" ma:contentTypeDescription="Create a new document." ma:contentTypeScope="" ma:versionID="d0ad3de69f1e991fe8cffc2b30dda172">
  <xsd:schema xmlns:xsd="http://www.w3.org/2001/XMLSchema" xmlns:xs="http://www.w3.org/2001/XMLSchema" xmlns:p="http://schemas.microsoft.com/office/2006/metadata/properties" xmlns:ns3="f2559ac7-8e56-4d2e-b71e-bc2d75d0c3a7" xmlns:ns4="dce4b952-1444-40d4-a845-4dd6f3b8a4f4" targetNamespace="http://schemas.microsoft.com/office/2006/metadata/properties" ma:root="true" ma:fieldsID="70521afbf470caf27dd108b318e8304a" ns3:_="" ns4:_="">
    <xsd:import namespace="f2559ac7-8e56-4d2e-b71e-bc2d75d0c3a7"/>
    <xsd:import namespace="dce4b952-1444-40d4-a845-4dd6f3b8a4f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59ac7-8e56-4d2e-b71e-bc2d75d0c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e4b952-1444-40d4-a845-4dd6f3b8a4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817621-6425-490C-9BDE-1844CFBC4772}">
  <ds:schemaRefs>
    <ds:schemaRef ds:uri="http://schemas.microsoft.com/office/2006/documentManagement/types"/>
    <ds:schemaRef ds:uri="http://schemas.microsoft.com/office/2006/metadata/properties"/>
    <ds:schemaRef ds:uri="http://purl.org/dc/terms/"/>
    <ds:schemaRef ds:uri="dce4b952-1444-40d4-a845-4dd6f3b8a4f4"/>
    <ds:schemaRef ds:uri="http://purl.org/dc/dcmitype/"/>
    <ds:schemaRef ds:uri="http://schemas.openxmlformats.org/package/2006/metadata/core-properties"/>
    <ds:schemaRef ds:uri="http://purl.org/dc/elements/1.1/"/>
    <ds:schemaRef ds:uri="f2559ac7-8e56-4d2e-b71e-bc2d75d0c3a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419C8ED-4548-4966-AE36-5B15EE1A9915}">
  <ds:schemaRefs>
    <ds:schemaRef ds:uri="http://schemas.microsoft.com/sharepoint/v3/contenttype/forms"/>
  </ds:schemaRefs>
</ds:datastoreItem>
</file>

<file path=customXml/itemProps3.xml><?xml version="1.0" encoding="utf-8"?>
<ds:datastoreItem xmlns:ds="http://schemas.openxmlformats.org/officeDocument/2006/customXml" ds:itemID="{911FD9A5-CD41-4ACB-BA54-2B730C7669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59ac7-8e56-4d2e-b71e-bc2d75d0c3a7"/>
    <ds:schemaRef ds:uri="dce4b952-1444-40d4-a845-4dd6f3b8a4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14</vt:i4>
      </vt:variant>
      <vt:variant>
        <vt:lpstr>Navngivne områder</vt:lpstr>
      </vt:variant>
      <vt:variant>
        <vt:i4>127</vt:i4>
      </vt:variant>
    </vt:vector>
  </HeadingPairs>
  <TitlesOfParts>
    <vt:vector size="141" baseType="lpstr">
      <vt:lpstr>Introduction</vt:lpstr>
      <vt:lpstr>Contents</vt:lpstr>
      <vt:lpstr>Organisation Details</vt:lpstr>
      <vt:lpstr>Summary</vt:lpstr>
      <vt:lpstr>V1 - Fuels (Stationary)</vt:lpstr>
      <vt:lpstr>V1 - Fuels (Mobile)</vt:lpstr>
      <vt:lpstr>V1 - Refrigerants</vt:lpstr>
      <vt:lpstr>V2 - Purchased Electricity</vt:lpstr>
      <vt:lpstr>V2 - District Heating</vt:lpstr>
      <vt:lpstr>V3 - Upstream Transport</vt:lpstr>
      <vt:lpstr>V3 - Downstream Transport</vt:lpstr>
      <vt:lpstr>V3 - Business Travel</vt:lpstr>
      <vt:lpstr>V3 - Employee Commuting</vt:lpstr>
      <vt:lpstr>V3 - Waste Generated in Ops</vt:lpstr>
      <vt:lpstr>S1_AirTrafficDomLessThan3000ft</vt:lpstr>
      <vt:lpstr>S1_AirTrafficDomMoreThan3000ft</vt:lpstr>
      <vt:lpstr>S1_AirTrafficIntLessThan3000ft</vt:lpstr>
      <vt:lpstr>S1_AirTrafficIntMoreThan3000ft</vt:lpstr>
      <vt:lpstr>S1_Biogas</vt:lpstr>
      <vt:lpstr>S1_Bus</vt:lpstr>
      <vt:lpstr>S1_Butane</vt:lpstr>
      <vt:lpstr>S1_Commercial_Institutional</vt:lpstr>
      <vt:lpstr>S1_Fishing_Ships</vt:lpstr>
      <vt:lpstr>S1_Gasdiesel_oil</vt:lpstr>
      <vt:lpstr>S1_Heavy_Fuel_Oil</vt:lpstr>
      <vt:lpstr>S1_HeavyDutyVehicles</vt:lpstr>
      <vt:lpstr>S1_Kerosene</vt:lpstr>
      <vt:lpstr>S1_LightDutyVehicles</vt:lpstr>
      <vt:lpstr>S1_LPG</vt:lpstr>
      <vt:lpstr>S1_Motorcycles</vt:lpstr>
      <vt:lpstr>S1_Passenger_Cars</vt:lpstr>
      <vt:lpstr>S1_Propane</vt:lpstr>
      <vt:lpstr>S1_Residential</vt:lpstr>
      <vt:lpstr>S1_Sea_Navigation</vt:lpstr>
      <vt:lpstr>S1_Sea_Navigation_INT</vt:lpstr>
      <vt:lpstr>S1_Waste_Oils</vt:lpstr>
      <vt:lpstr>S1_Wood_Chips</vt:lpstr>
      <vt:lpstr>S1_Wood_Logs</vt:lpstr>
      <vt:lpstr>S1_Wood_Pellets</vt:lpstr>
      <vt:lpstr>S3_AirTravelDomBT_Units</vt:lpstr>
      <vt:lpstr>S3_AirTravelIntAveBT_Units</vt:lpstr>
      <vt:lpstr>S3_AirTravelIntBusBT_Units</vt:lpstr>
      <vt:lpstr>S3_AirTravelIntEcoBT_Units</vt:lpstr>
      <vt:lpstr>S3_AirTravelIntFirBT_Units</vt:lpstr>
      <vt:lpstr>S3_AirTravelIntPreBT_Units</vt:lpstr>
      <vt:lpstr>S3_AirTravelLonconBT_Units</vt:lpstr>
      <vt:lpstr>S3_AirTravelLonirsBT_Units</vt:lpstr>
      <vt:lpstr>S3_AirTravelLonremBT_Units</vt:lpstr>
      <vt:lpstr>S3_AirTravelLonusiBT_Units</vt:lpstr>
      <vt:lpstr>S3_AirTravelLonverBT_Units</vt:lpstr>
      <vt:lpstr>S3_AirTravelShoAveBT_Units</vt:lpstr>
      <vt:lpstr>S3_AirTravelShoBT_Units</vt:lpstr>
      <vt:lpstr>S3_AirTravelShoBusBT_Units</vt:lpstr>
      <vt:lpstr>S3_AirTravelShoEcoBT_Units</vt:lpstr>
      <vt:lpstr>S3_AvgMotorbikeAveBT_Units</vt:lpstr>
      <vt:lpstr>S3_BT_AirTravel</vt:lpstr>
      <vt:lpstr>S3_BT_Bus</vt:lpstr>
      <vt:lpstr>S3_BT_Ferry</vt:lpstr>
      <vt:lpstr>S3_BT_Motorcycles</vt:lpstr>
      <vt:lpstr>S3_BT_PassengerCars</vt:lpstr>
      <vt:lpstr>S3_BT_Taxi</vt:lpstr>
      <vt:lpstr>S3_CoachCoaBT_Units</vt:lpstr>
      <vt:lpstr>S3_FerryAveBT_Units</vt:lpstr>
      <vt:lpstr>S3_FerryCarBT_Units</vt:lpstr>
      <vt:lpstr>S3_FerryFooBT_Units</vt:lpstr>
      <vt:lpstr>S3_LocalBusAveBT_Units</vt:lpstr>
      <vt:lpstr>S3_PassengerCarsBatBT_Units</vt:lpstr>
      <vt:lpstr>S3_PassengerCarsCNGBT_Units</vt:lpstr>
      <vt:lpstr>S3_PassengerCarsDieBT_Units</vt:lpstr>
      <vt:lpstr>S3_PassengerCarsHybBT_Units</vt:lpstr>
      <vt:lpstr>S3_PassengerCarsLPGBT_Units</vt:lpstr>
      <vt:lpstr>S3_PassengerCarsPetBT_Units</vt:lpstr>
      <vt:lpstr>S3_PassengerCarsPluBT_Units</vt:lpstr>
      <vt:lpstr>S3_PassengerCarsUnkBT_Units</vt:lpstr>
      <vt:lpstr>S3_Sea_Tanker_Units</vt:lpstr>
      <vt:lpstr>S3_TaxiRegBT_Units</vt:lpstr>
      <vt:lpstr>S3_UDT_DistanceDropdown</vt:lpstr>
      <vt:lpstr>S3_UDT_FuelUseDropdown</vt:lpstr>
      <vt:lpstr>S3_UDTDistance_AirTravel</vt:lpstr>
      <vt:lpstr>S3_UDTDistance_AirTravel_Units</vt:lpstr>
      <vt:lpstr>S3_UDTDistance_AirTravelDomestic</vt:lpstr>
      <vt:lpstr>S3_UDTDistance_CargoShip</vt:lpstr>
      <vt:lpstr>S3_UDTDistance_CargoShip_Units</vt:lpstr>
      <vt:lpstr>S3_UDTDistance_HeavyDutyVehicles</vt:lpstr>
      <vt:lpstr>S3_UDTDistance_HeavyDutyVehicles_Units</vt:lpstr>
      <vt:lpstr>S3_UDTDistance_HeavyDutyVehiclesRefrigerated</vt:lpstr>
      <vt:lpstr>S3_UDTDistance_HeavyDutyVehiclesRefrigerated_Units</vt:lpstr>
      <vt:lpstr>S3_UDTDistance_SeaTanker</vt:lpstr>
      <vt:lpstr>S3_UDTDistance_SeaTanker_Units</vt:lpstr>
      <vt:lpstr>S3_UDTDistance_Van</vt:lpstr>
      <vt:lpstr>S3_UDTDistance_Van_Units</vt:lpstr>
      <vt:lpstr>S3_UDTFuel_Agriculture</vt:lpstr>
      <vt:lpstr>S3_UDTFuel_Air_Travel</vt:lpstr>
      <vt:lpstr>S3_UDTFuel_AirTrafficDomLessThan3000ft</vt:lpstr>
      <vt:lpstr>S3_UDTFuel_AirTrafficDomMoreThan3000ft</vt:lpstr>
      <vt:lpstr>S3_UDTFuel_AirTrafficIntLessThan3000ft</vt:lpstr>
      <vt:lpstr>S3_UDTFuel_AirTrafficIntMoreThan3000ft</vt:lpstr>
      <vt:lpstr>S3_UDTFuel_AirTravel</vt:lpstr>
      <vt:lpstr>S3_UDTFuel_Bus</vt:lpstr>
      <vt:lpstr>S3_UDTFuel_CargoShip</vt:lpstr>
      <vt:lpstr>S3_UDTFuel_Commercial_Institutional</vt:lpstr>
      <vt:lpstr>S3_UDTFuel_CommercialInstitutional</vt:lpstr>
      <vt:lpstr>S3_UDTFuel_Fishing_Ships</vt:lpstr>
      <vt:lpstr>S3_UDTFuel_FishingShips</vt:lpstr>
      <vt:lpstr>S3_UDTFuel_Forestry</vt:lpstr>
      <vt:lpstr>S3_UDTFuel_Heavy_duty_vehicles</vt:lpstr>
      <vt:lpstr>S3_UDTFuel_HeavyDutyVehicles</vt:lpstr>
      <vt:lpstr>S3_UDTFuel_Light_duty_vehicles</vt:lpstr>
      <vt:lpstr>S3_UDTFuel_LightDutyVehicles</vt:lpstr>
      <vt:lpstr>S3_UDTFuel_Manufacturing_industries_and_construction</vt:lpstr>
      <vt:lpstr>S3_UDTFuel_ManufacturingIndustries</vt:lpstr>
      <vt:lpstr>S3_UDTFuel_Motorcycles</vt:lpstr>
      <vt:lpstr>S3_UDTFuel_Passenger_cars</vt:lpstr>
      <vt:lpstr>S3_UDTFuel_PassengerCars</vt:lpstr>
      <vt:lpstr>S3_UDTFuel_Residential</vt:lpstr>
      <vt:lpstr>S3_UDTFuel_Sea_Navigation</vt:lpstr>
      <vt:lpstr>S3_UDTFuel_Sea_Navigation___International</vt:lpstr>
      <vt:lpstr>S3_UDTFuel_Sea_Tanker</vt:lpstr>
      <vt:lpstr>S3_UDTFuel_SeaNavigation</vt:lpstr>
      <vt:lpstr>S3_UDTFuel_SeaNavigationInt</vt:lpstr>
      <vt:lpstr>S3_UDTFuel_SeaTanker</vt:lpstr>
      <vt:lpstr>S3_Van_Units</vt:lpstr>
      <vt:lpstr>S3_Waste_Aggregates</vt:lpstr>
      <vt:lpstr>S3_Waste_Asbestos</vt:lpstr>
      <vt:lpstr>S3_Waste_Bricks</vt:lpstr>
      <vt:lpstr>S3_Waste_CommercialIndustrial</vt:lpstr>
      <vt:lpstr>S3_Waste_Garden</vt:lpstr>
      <vt:lpstr>S3_Waste_HouseholdResidual</vt:lpstr>
      <vt:lpstr>S3_Waste_Insulation</vt:lpstr>
      <vt:lpstr>S3_Waste_Metals</vt:lpstr>
      <vt:lpstr>S3_Waste_Mineral_oil</vt:lpstr>
      <vt:lpstr>S3_Waste_OrganicFD</vt:lpstr>
      <vt:lpstr>S3_Waste_OrganicFG</vt:lpstr>
      <vt:lpstr>S3_Waste_PaperBoardMix</vt:lpstr>
      <vt:lpstr>S3_Waste_Plasterboard</vt:lpstr>
      <vt:lpstr>S3_Waste_PlasticPET</vt:lpstr>
      <vt:lpstr>S3_Waste_PlasticsAverage</vt:lpstr>
      <vt:lpstr>S3_Waste_Soils</vt:lpstr>
      <vt:lpstr>S3_Waste_Tyres</vt:lpstr>
      <vt:lpstr>S3_Waste_WEEE</vt:lpstr>
      <vt:lpstr>S3_Waste_Wood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Crick</dc:creator>
  <cp:keywords/>
  <dc:description/>
  <cp:lastModifiedBy>Maria Gunnleivsdóttir Hansen</cp:lastModifiedBy>
  <cp:revision/>
  <dcterms:created xsi:type="dcterms:W3CDTF">2022-09-12T11:58:21Z</dcterms:created>
  <dcterms:modified xsi:type="dcterms:W3CDTF">2024-02-08T17:12:56Z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0x0101001786FAE9A7021C4EACFA03FFFAAF272D</vt:lpwstr>
  </property>
</Properties>
</file>